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5_5.bin" ContentType="application/vnd.openxmlformats-officedocument.oleObject"/>
  <Override PartName="/xl/embeddings/oleObject_5_6.bin" ContentType="application/vnd.openxmlformats-officedocument.oleObject"/>
  <Override PartName="/xl/embeddings/oleObject_5_7.bin" ContentType="application/vnd.openxmlformats-officedocument.oleObject"/>
  <Override PartName="/xl/embeddings/oleObject_5_8.bin" ContentType="application/vnd.openxmlformats-officedocument.oleObject"/>
  <Override PartName="/xl/embeddings/oleObject_5_9.bin" ContentType="application/vnd.openxmlformats-officedocument.oleObject"/>
  <Override PartName="/xl/embeddings/oleObject_5_10.bin" ContentType="application/vnd.openxmlformats-officedocument.oleObject"/>
  <Override PartName="/xl/embeddings/oleObject_5_11.bin" ContentType="application/vnd.openxmlformats-officedocument.oleObject"/>
  <Override PartName="/xl/embeddings/oleObject_5_12.bin" ContentType="application/vnd.openxmlformats-officedocument.oleObject"/>
  <Override PartName="/xl/embeddings/oleObject_5_13.bin" ContentType="application/vnd.openxmlformats-officedocument.oleObject"/>
  <Override PartName="/xl/embeddings/oleObject_5_14.bin" ContentType="application/vnd.openxmlformats-officedocument.oleObject"/>
  <Override PartName="/xl/embeddings/oleObject_5_15.bin" ContentType="application/vnd.openxmlformats-officedocument.oleObject"/>
  <Override PartName="/xl/embeddings/oleObject_5_16.bin" ContentType="application/vnd.openxmlformats-officedocument.oleObject"/>
  <Override PartName="/xl/embeddings/oleObject_5_17.bin" ContentType="application/vnd.openxmlformats-officedocument.oleObject"/>
  <Override PartName="/xl/embeddings/oleObject_5_18.bin" ContentType="application/vnd.openxmlformats-officedocument.oleObject"/>
  <Override PartName="/xl/embeddings/oleObject_5_19.bin" ContentType="application/vnd.openxmlformats-officedocument.oleObject"/>
  <Override PartName="/xl/embeddings/oleObject_5_20.bin" ContentType="application/vnd.openxmlformats-officedocument.oleObject"/>
  <Override PartName="/xl/embeddings/oleObject_5_21.bin" ContentType="application/vnd.openxmlformats-officedocument.oleObject"/>
  <Override PartName="/xl/embeddings/oleObject_5_22.bin" ContentType="application/vnd.openxmlformats-officedocument.oleObject"/>
  <Override PartName="/xl/embeddings/oleObject_5_23.bin" ContentType="application/vnd.openxmlformats-officedocument.oleObject"/>
  <Override PartName="/xl/embeddings/oleObject_5_24.bin" ContentType="application/vnd.openxmlformats-officedocument.oleObject"/>
  <Override PartName="/xl/embeddings/oleObject_5_25.bin" ContentType="application/vnd.openxmlformats-officedocument.oleObject"/>
  <Override PartName="/xl/embeddings/oleObject_5_26.bin" ContentType="application/vnd.openxmlformats-officedocument.oleObject"/>
  <Override PartName="/xl/embeddings/oleObject_5_27.bin" ContentType="application/vnd.openxmlformats-officedocument.oleObject"/>
  <Override PartName="/xl/embeddings/oleObject_5_28.bin" ContentType="application/vnd.openxmlformats-officedocument.oleObject"/>
  <Override PartName="/xl/embeddings/oleObject_5_29.bin" ContentType="application/vnd.openxmlformats-officedocument.oleObject"/>
  <Override PartName="/xl/embeddings/oleObject_5_30.bin" ContentType="application/vnd.openxmlformats-officedocument.oleObject"/>
  <Override PartName="/xl/embeddings/oleObject_5_31.bin" ContentType="application/vnd.openxmlformats-officedocument.oleObject"/>
  <Override PartName="/xl/embeddings/oleObject_5_32.bin" ContentType="application/vnd.openxmlformats-officedocument.oleObject"/>
  <Override PartName="/xl/embeddings/oleObject_5_33.bin" ContentType="application/vnd.openxmlformats-officedocument.oleObject"/>
  <Override PartName="/xl/embeddings/oleObject_5_34.bin" ContentType="application/vnd.openxmlformats-officedocument.oleObject"/>
  <Override PartName="/xl/embeddings/oleObject_5_35.bin" ContentType="application/vnd.openxmlformats-officedocument.oleObject"/>
  <Override PartName="/xl/embeddings/oleObject_5_36.bin" ContentType="application/vnd.openxmlformats-officedocument.oleObject"/>
  <Override PartName="/xl/embeddings/oleObject_5_37.bin" ContentType="application/vnd.openxmlformats-officedocument.oleObject"/>
  <Override PartName="/xl/embeddings/oleObject_5_38.bin" ContentType="application/vnd.openxmlformats-officedocument.oleObject"/>
  <Override PartName="/xl/embeddings/oleObject_5_39.bin" ContentType="application/vnd.openxmlformats-officedocument.oleObject"/>
  <Override PartName="/xl/embeddings/oleObject_5_40.bin" ContentType="application/vnd.openxmlformats-officedocument.oleObject"/>
  <Override PartName="/xl/embeddings/oleObject_5_41.bin" ContentType="application/vnd.openxmlformats-officedocument.oleObject"/>
  <Override PartName="/xl/embeddings/oleObject_5_42.bin" ContentType="application/vnd.openxmlformats-officedocument.oleObject"/>
  <Override PartName="/xl/embeddings/oleObject_5_43.bin" ContentType="application/vnd.openxmlformats-officedocument.oleObject"/>
  <Override PartName="/xl/embeddings/oleObject_5_44.bin" ContentType="application/vnd.openxmlformats-officedocument.oleObject"/>
  <Override PartName="/xl/embeddings/oleObject_5_45.bin" ContentType="application/vnd.openxmlformats-officedocument.oleObject"/>
  <Override PartName="/xl/embeddings/oleObject_5_46.bin" ContentType="application/vnd.openxmlformats-officedocument.oleObject"/>
  <Override PartName="/xl/embeddings/oleObject_5_47.bin" ContentType="application/vnd.openxmlformats-officedocument.oleObject"/>
  <Override PartName="/xl/embeddings/oleObject_5_48.bin" ContentType="application/vnd.openxmlformats-officedocument.oleObject"/>
  <Override PartName="/xl/embeddings/oleObject_5_49.bin" ContentType="application/vnd.openxmlformats-officedocument.oleObject"/>
  <Override PartName="/xl/embeddings/oleObject_5_50.bin" ContentType="application/vnd.openxmlformats-officedocument.oleObject"/>
  <Override PartName="/xl/embeddings/oleObject_5_51.bin" ContentType="application/vnd.openxmlformats-officedocument.oleObject"/>
  <Override PartName="/xl/embeddings/oleObject_5_52.bin" ContentType="application/vnd.openxmlformats-officedocument.oleObject"/>
  <Override PartName="/xl/embeddings/oleObject_5_53.bin" ContentType="application/vnd.openxmlformats-officedocument.oleObject"/>
  <Override PartName="/xl/embeddings/oleObject_5_54.bin" ContentType="application/vnd.openxmlformats-officedocument.oleObject"/>
  <Override PartName="/xl/embeddings/oleObject_5_55.bin" ContentType="application/vnd.openxmlformats-officedocument.oleObject"/>
  <Override PartName="/xl/embeddings/oleObject_5_56.bin" ContentType="application/vnd.openxmlformats-officedocument.oleObject"/>
  <Override PartName="/xl/embeddings/oleObject_5_57.bin" ContentType="application/vnd.openxmlformats-officedocument.oleObject"/>
  <Override PartName="/xl/embeddings/oleObject_5_58.bin" ContentType="application/vnd.openxmlformats-officedocument.oleObject"/>
  <Override PartName="/xl/embeddings/oleObject_5_59.bin" ContentType="application/vnd.openxmlformats-officedocument.oleObject"/>
  <Override PartName="/xl/embeddings/oleObject_5_60.bin" ContentType="application/vnd.openxmlformats-officedocument.oleObject"/>
  <Override PartName="/xl/embeddings/oleObject_5_61.bin" ContentType="application/vnd.openxmlformats-officedocument.oleObject"/>
  <Override PartName="/xl/embeddings/oleObject_5_62.bin" ContentType="application/vnd.openxmlformats-officedocument.oleObject"/>
  <Override PartName="/xl/embeddings/oleObject_5_63.bin" ContentType="application/vnd.openxmlformats-officedocument.oleObject"/>
  <Override PartName="/xl/embeddings/oleObject_5_64.bin" ContentType="application/vnd.openxmlformats-officedocument.oleObject"/>
  <Override PartName="/xl/embeddings/oleObject_5_65.bin" ContentType="application/vnd.openxmlformats-officedocument.oleObject"/>
  <Override PartName="/xl/embeddings/oleObject_5_66.bin" ContentType="application/vnd.openxmlformats-officedocument.oleObject"/>
  <Override PartName="/xl/embeddings/oleObject_5_67.bin" ContentType="application/vnd.openxmlformats-officedocument.oleObject"/>
  <Override PartName="/xl/embeddings/oleObject_5_68.bin" ContentType="application/vnd.openxmlformats-officedocument.oleObject"/>
  <Override PartName="/xl/embeddings/oleObject_5_69.bin" ContentType="application/vnd.openxmlformats-officedocument.oleObject"/>
  <Override PartName="/xl/embeddings/oleObject_5_70.bin" ContentType="application/vnd.openxmlformats-officedocument.oleObject"/>
  <Override PartName="/xl/embeddings/oleObject_5_71.bin" ContentType="application/vnd.openxmlformats-officedocument.oleObject"/>
  <Override PartName="/xl/embeddings/oleObject_5_72.bin" ContentType="application/vnd.openxmlformats-officedocument.oleObject"/>
  <Override PartName="/xl/embeddings/oleObject_5_73.bin" ContentType="application/vnd.openxmlformats-officedocument.oleObject"/>
  <Override PartName="/xl/embeddings/oleObject_5_74.bin" ContentType="application/vnd.openxmlformats-officedocument.oleObject"/>
  <Override PartName="/xl/embeddings/oleObject_5_75.bin" ContentType="application/vnd.openxmlformats-officedocument.oleObject"/>
  <Override PartName="/xl/embeddings/oleObject_5_76.bin" ContentType="application/vnd.openxmlformats-officedocument.oleObject"/>
  <Override PartName="/xl/embeddings/oleObject_5_77.bin" ContentType="application/vnd.openxmlformats-officedocument.oleObject"/>
  <Override PartName="/xl/embeddings/oleObject_5_78.bin" ContentType="application/vnd.openxmlformats-officedocument.oleObject"/>
  <Override PartName="/xl/embeddings/oleObject_5_79.bin" ContentType="application/vnd.openxmlformats-officedocument.oleObject"/>
  <Override PartName="/xl/embeddings/oleObject_5_80.bin" ContentType="application/vnd.openxmlformats-officedocument.oleObject"/>
  <Override PartName="/xl/embeddings/oleObject_5_81.bin" ContentType="application/vnd.openxmlformats-officedocument.oleObject"/>
  <Override PartName="/xl/embeddings/oleObject_5_82.bin" ContentType="application/vnd.openxmlformats-officedocument.oleObject"/>
  <Override PartName="/xl/embeddings/oleObject_5_83.bin" ContentType="application/vnd.openxmlformats-officedocument.oleObject"/>
  <Override PartName="/xl/embeddings/oleObject_5_84.bin" ContentType="application/vnd.openxmlformats-officedocument.oleObject"/>
  <Override PartName="/xl/embeddings/oleObject_5_85.bin" ContentType="application/vnd.openxmlformats-officedocument.oleObject"/>
  <Override PartName="/xl/embeddings/oleObject_5_86.bin" ContentType="application/vnd.openxmlformats-officedocument.oleObject"/>
  <Override PartName="/xl/embeddings/oleObject_5_87.bin" ContentType="application/vnd.openxmlformats-officedocument.oleObject"/>
  <Override PartName="/xl/embeddings/oleObject_5_88.bin" ContentType="application/vnd.openxmlformats-officedocument.oleObject"/>
  <Override PartName="/xl/embeddings/oleObject_5_89.bin" ContentType="application/vnd.openxmlformats-officedocument.oleObject"/>
  <Override PartName="/xl/embeddings/oleObject_5_90.bin" ContentType="application/vnd.openxmlformats-officedocument.oleObject"/>
  <Override PartName="/xl/embeddings/oleObject_5_91.bin" ContentType="application/vnd.openxmlformats-officedocument.oleObject"/>
  <Override PartName="/xl/embeddings/oleObject_5_92.bin" ContentType="application/vnd.openxmlformats-officedocument.oleObject"/>
  <Override PartName="/xl/embeddings/oleObject_5_9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1195" windowHeight="10485" activeTab="0"/>
  </bookViews>
  <sheets>
    <sheet name="Introduction" sheetId="1" r:id="rId1"/>
    <sheet name="ASM1" sheetId="2" r:id="rId2"/>
    <sheet name="ASM2d" sheetId="3" r:id="rId3"/>
    <sheet name="ASM3" sheetId="4" r:id="rId4"/>
    <sheet name="ASM3 + Bio-P" sheetId="5" r:id="rId5"/>
    <sheet name="ASM2d + TUD" sheetId="6" r:id="rId6"/>
    <sheet name="New General" sheetId="7" r:id="rId7"/>
    <sheet name="UCTPHO+" sheetId="8" r:id="rId8"/>
  </sheets>
  <definedNames>
    <definedName name="ASM1_f_P">'ASM1'!$G$26</definedName>
    <definedName name="ASM1_i_Charge_NHx">'ASM1'!$G$33</definedName>
    <definedName name="ASM1_i_Charge_NOx">'ASM1'!$G$34</definedName>
    <definedName name="ASM1_i_COD_N2">'ASM1'!$G$32</definedName>
    <definedName name="ASM1_i_COD_NOx">'ASM1'!$G$31</definedName>
    <definedName name="ASM1_i_NOx.N2">'ASM1'!$G$30</definedName>
    <definedName name="ASM1_i_XB">'ASM1'!$G$28</definedName>
    <definedName name="ASM1_i_XP">'ASM1'!$G$29</definedName>
    <definedName name="ASM1_Y_A">'ASM1'!$G$27</definedName>
    <definedName name="ASM1_Y_H">'ASM1'!$G$25</definedName>
    <definedName name="ASM2d_f_MeOH_PO4.MW">'ASM2d'!$G$38</definedName>
    <definedName name="ASM2d_f_MeP_PO4.MW">'ASM2d'!$G$39</definedName>
    <definedName name="ASM2d_f_SI">'ASM2d'!$G$31</definedName>
    <definedName name="ASM2d_f_XI">'ASM2d'!$G$33</definedName>
    <definedName name="ASM2d_i_Charge_Ac">'ASM2d'!$G$43</definedName>
    <definedName name="ASM2d_i_Charge_NHx">'ASM2d'!$G$44</definedName>
    <definedName name="ASM2d_i_Charge_NOx">'ASM2d'!$G$45</definedName>
    <definedName name="ASM2d_i_Charge_PO4">'ASM2d'!$G$46</definedName>
    <definedName name="ASM2d_i_Charge_XPAO.PP">'ASM2d'!$G$47</definedName>
    <definedName name="ASM2d_i_COD_N2">'ASM2d'!$G$42</definedName>
    <definedName name="ASM2d_i_COD_NOx">'ASM2d'!$G$41</definedName>
    <definedName name="ASM2d_i_N.BM">'ASM2d'!$G$52</definedName>
    <definedName name="ASM2d_i_N.SF">'ASM2d'!$G$48</definedName>
    <definedName name="ASM2d_i_N.SI">'ASM2d'!$G$49</definedName>
    <definedName name="ASM2d_i_N.XI">'ASM2d'!$G$50</definedName>
    <definedName name="ASM2d_i_N.XS">'ASM2d'!$G$51</definedName>
    <definedName name="ASM2d_i_NOx.N2">'ASM2d'!$G$40</definedName>
    <definedName name="ASM2d_i_P.BM">'ASM2d'!$G$57</definedName>
    <definedName name="ASM2d_i_P.SF">'ASM2d'!$G$53</definedName>
    <definedName name="ASM2d_i_P.SI">'ASM2d'!$G$54</definedName>
    <definedName name="ASM2d_i_P.XI">'ASM2d'!$G$55</definedName>
    <definedName name="ASM2d_i_P.XS">'ASM2d'!$G$56</definedName>
    <definedName name="ASM2d_i_P_MeP">'ASM2d'!$G$58</definedName>
    <definedName name="ASM2d_i_TSS.BM">'ASM2d'!$G$62</definedName>
    <definedName name="ASM2d_i_TSS.XI">'ASM2d'!$G$59</definedName>
    <definedName name="ASM2d_i_TSS.XPHA">'ASM2d'!$G$61</definedName>
    <definedName name="ASM2d_i_TSS.XPP">'ASM2d'!$G$63</definedName>
    <definedName name="ASM2d_i_TSS.XS">'ASM2d'!$G$60</definedName>
    <definedName name="ASM2d_v_1_NH4">'ASM2d'!$O$97</definedName>
    <definedName name="ASM2d_v_1_PO4">'ASM2d'!$Q$97</definedName>
    <definedName name="ASM2d_v_12_NO3">'ASM2d'!$P$108</definedName>
    <definedName name="ASM2d_v_13_NH4">'ASM2d'!$O$109</definedName>
    <definedName name="ASM2d_v_14_NH4">'ASM2d'!$O$110</definedName>
    <definedName name="ASM2d_v_14_NO3">'ASM2d'!$P$110</definedName>
    <definedName name="ASM2d_v_15_NH4">'ASM2d'!$O$111</definedName>
    <definedName name="ASM2d_v_15_PO4">'ASM2d'!$Q$111</definedName>
    <definedName name="ASM2d_v_19_NH4">'ASM2d'!$O$115</definedName>
    <definedName name="ASM2d_v_19_PO4">'ASM2d'!$Q$115</definedName>
    <definedName name="ASM2d_v_2_NH4">'ASM2d'!$O$98</definedName>
    <definedName name="ASM2d_v_2_PO4">'ASM2d'!$Q$98</definedName>
    <definedName name="ASM2d_v_3_NH4">'ASM2d'!$O$99</definedName>
    <definedName name="ASM2d_v_3_PO4">'ASM2d'!$Q$99</definedName>
    <definedName name="ASM2d_v_4_NH4">'ASM2d'!$O$100</definedName>
    <definedName name="ASM2d_v_4_PO4">'ASM2d'!$Q$100</definedName>
    <definedName name="ASM2d_v_5_NH4">'ASM2d'!$O$101</definedName>
    <definedName name="ASM2d_v_5_PO4">'ASM2d'!$Q$101</definedName>
    <definedName name="ASM2d_v_5_SA">'ASM2d'!$N$101</definedName>
    <definedName name="ASM2d_v_6_NH4">'ASM2d'!$O$102</definedName>
    <definedName name="ASM2d_v_6_NO3">'ASM2d'!$P$102</definedName>
    <definedName name="ASM2d_v_6_PO4">'ASM2d'!$Q$102</definedName>
    <definedName name="ASM2d_v_7_NH4">'ASM2d'!$O$103</definedName>
    <definedName name="ASM2d_v_7_NO3">'ASM2d'!$P$103</definedName>
    <definedName name="ASM2d_v_7_PO4">'ASM2d'!$Q$103</definedName>
    <definedName name="ASM2d_v_7_SA">'ASM2d'!$N$103</definedName>
    <definedName name="ASM2d_v_8_NH4">'ASM2d'!$O$104</definedName>
    <definedName name="ASM2d_V_8_PO4">'ASM2d'!$Q$104</definedName>
    <definedName name="ASM2d_v_9_NH4">'ASM2d'!$O$105</definedName>
    <definedName name="ASM2d_v_9_PO4">'ASM2d'!$Q$105</definedName>
    <definedName name="ASM2d_Y_A">'ASM2d'!$G$37</definedName>
    <definedName name="ASM2d_Y_H">'ASM2d'!$G$32</definedName>
    <definedName name="ASM2d_Y_PAO">'ASM2d'!$G$34</definedName>
    <definedName name="ASM2d_Y_PHA">'ASM2d'!$G$35</definedName>
    <definedName name="ASM2d_Y_PO4">'ASM2d'!$G$36</definedName>
    <definedName name="ASM3_f_SI">'ASM3'!$G$25</definedName>
    <definedName name="ASM3_f_XI">'ASM3'!$G$30</definedName>
    <definedName name="ASM3_i_Charge_NHx">'ASM3'!$G$44</definedName>
    <definedName name="ASM3_i_Charge_NOx">'ASM3'!$G$45</definedName>
    <definedName name="ASM3_i_COD_N2">'ASM3'!$G$43</definedName>
    <definedName name="ASM3_i_COD_NOx">'ASM3'!$G$42</definedName>
    <definedName name="ASM3_i_N.BM">'ASM3'!$G$36</definedName>
    <definedName name="ASM3_i_N.SI">'ASM3'!$G$33</definedName>
    <definedName name="ASM3_i_N.SS">'ASM3'!$G$32</definedName>
    <definedName name="ASM3_i_N.XI">'ASM3'!$G$34</definedName>
    <definedName name="ASM3_i_N.XS">'ASM3'!$G$35</definedName>
    <definedName name="ASM3_i_NOx.N2">'ASM3'!$G$41</definedName>
    <definedName name="ASM3_i_SS.BM">'ASM3'!$G$39</definedName>
    <definedName name="ASM3_i_SS.STO">'ASM3'!$G$40</definedName>
    <definedName name="ASM3_i_SS.XI">'ASM3'!$G$37</definedName>
    <definedName name="ASM3_i_SS.XS">'ASM3'!$G$38</definedName>
    <definedName name="ASM3_v_1_NH4">'ASM3'!$N$71</definedName>
    <definedName name="ASM3_v_10_NH4">'ASM3'!$N$80</definedName>
    <definedName name="ASM3_v_10_NOX">'ASM3'!$O$80</definedName>
    <definedName name="ASM3_v_11_NH4">'ASM3'!$N$81</definedName>
    <definedName name="ASM3_v_12_NH4">'ASM3'!$N$82</definedName>
    <definedName name="ASM3_v_12_NOX">'ASM3'!$O$82</definedName>
    <definedName name="ASM3_v_2_NH4">'ASM3'!$N$72</definedName>
    <definedName name="ASM3_v_3_NH4">'ASM3'!$N$73</definedName>
    <definedName name="ASM3_v_3_NOX">'ASM3'!$O$73</definedName>
    <definedName name="ASM3_v_4_NH4">'ASM3'!$N$74</definedName>
    <definedName name="ASM3_v_5_NH4">'ASM3'!$N$75</definedName>
    <definedName name="ASM3_v_5_NOX">'ASM3'!$O$75</definedName>
    <definedName name="ASM3_v_6_NH4">'ASM3'!$N$76</definedName>
    <definedName name="ASM3_v_7_NH4">'ASM3'!$N$77</definedName>
    <definedName name="ASM3_v_7_NOX">'ASM3'!$O$77</definedName>
    <definedName name="ASM3_v_9_NOX">'ASM3'!$O$79</definedName>
    <definedName name="ASM3_Y_A">'ASM3'!$G$31</definedName>
    <definedName name="ASM3_Y_H.NOX">'ASM3'!$G$27</definedName>
    <definedName name="ASM3_Y_H.O2">'ASM3'!$G$26</definedName>
    <definedName name="ASM3_Y_STO.NOX">'ASM3'!$G$29</definedName>
    <definedName name="ASM3_Y_STO.O2">'ASM3'!$G$28</definedName>
    <definedName name="ASM3BP_f_SI">'ASM3 + Bio-P'!$G$29</definedName>
    <definedName name="ASM3BP_f_XI">'ASM3 + Bio-P'!$G$34</definedName>
    <definedName name="ASM3BP_i_Charge_NHx">'ASM3 + Bio-P'!$G$59</definedName>
    <definedName name="ASM3BP_i_Charge_NOx">'ASM3 + Bio-P'!$G$60</definedName>
    <definedName name="ASM3BP_i_Charge_PO4">'ASM3 + Bio-P'!$G$62</definedName>
    <definedName name="ASM3BP_i_Charge_XPAO.PP">'ASM3 + Bio-P'!$G$61</definedName>
    <definedName name="ASM3BP_i_COD_N2">'ASM3 + Bio-P'!$G$58</definedName>
    <definedName name="ASM3BP_i_COD_NOx">'ASM3 + Bio-P'!$G$57</definedName>
    <definedName name="ASM3BP_i_N.BM">'ASM3 + Bio-P'!$G$45</definedName>
    <definedName name="ASM3BP_i_N.SI">'ASM3 + Bio-P'!$G$42</definedName>
    <definedName name="ASM3BP_i_N.SS">'ASM3 + Bio-P'!$G$41</definedName>
    <definedName name="ASM3BP_i_N.XI">'ASM3 + Bio-P'!$G$43</definedName>
    <definedName name="ASM3BP_i_N.XS">'ASM3 + Bio-P'!$G$44</definedName>
    <definedName name="ASM3BP_i_NOx.N2">'ASM3 + Bio-P'!$G$56</definedName>
    <definedName name="ASM3BP_i_P.BM">'ASM3 + Bio-P'!$G$50</definedName>
    <definedName name="ASM3BP_i_P.SI">'ASM3 + Bio-P'!$G$47</definedName>
    <definedName name="ASM3BP_i_P.SS">'ASM3 + Bio-P'!$G$46</definedName>
    <definedName name="ASM3BP_i_P.XI">'ASM3 + Bio-P'!$G$48</definedName>
    <definedName name="ASM3BP_i_P.XS">'ASM3 + Bio-P'!$G$49</definedName>
    <definedName name="ASM3BP_i_TSS.BM">'ASM3 + Bio-P'!$G$54</definedName>
    <definedName name="ASM3BP_i_TSS.XI">'ASM3 + Bio-P'!$G$51</definedName>
    <definedName name="ASM3BP_i_TSS.XPP">'ASM3 + Bio-P'!$G$55</definedName>
    <definedName name="ASM3BP_i_TSS.XS">'ASM3 + Bio-P'!$G$52</definedName>
    <definedName name="ASM3BP_i_TSS.XSTO">'ASM3 + Bio-P'!$G$53</definedName>
    <definedName name="ASM3BP_v_1_NH4">'ASM3 + Bio-P'!$N$99</definedName>
    <definedName name="ASM3BP_v_1_PO4">'ASM3 + Bio-P'!$Q$99</definedName>
    <definedName name="ASM3BP_v_10_NH4">'ASM3 + Bio-P'!$N$108</definedName>
    <definedName name="ASM3BP_v_10_NO">'ASM3 + Bio-P'!$O$108</definedName>
    <definedName name="ASM3BP_v_10_PO4">'ASM3 + Bio-P'!$Q$108</definedName>
    <definedName name="ASM3BP_v_11_NH4">'ASM3 + Bio-P'!$N$109</definedName>
    <definedName name="ASM3BP_v_11_PO4">'ASM3 + Bio-P'!$Q$109</definedName>
    <definedName name="ASM3BP_v_12_NH4">'ASM3 + Bio-P'!$N$110</definedName>
    <definedName name="ASM3BP_v_12_NO">'ASM3 + Bio-P'!$O$110</definedName>
    <definedName name="ASM3BP_v_12_PO4">'ASM3 + Bio-P'!$Q$110</definedName>
    <definedName name="ASM3BP_v_2_NH4">'ASM3 + Bio-P'!$N$100</definedName>
    <definedName name="ASM3BP_v_2_PO4">'ASM3 + Bio-P'!$Q$100</definedName>
    <definedName name="ASM3BP_v_3_NH4">'ASM3 + Bio-P'!$N$101</definedName>
    <definedName name="ASM3BP_v_3_NO">'ASM3 + Bio-P'!$O$101</definedName>
    <definedName name="ASM3BP_v_3_PO4">'ASM3 + Bio-P'!$Q$101</definedName>
    <definedName name="ASM3BP_v_4_NH4">'ASM3 + Bio-P'!$N$102</definedName>
    <definedName name="ASM3BP_v_4_PO4">'ASM3 + Bio-P'!$Q$102</definedName>
    <definedName name="ASM3BP_v_5_NH4">'ASM3 + Bio-P'!$N$103</definedName>
    <definedName name="ASM3BP_v_5_NO">'ASM3 + Bio-P'!$O$103</definedName>
    <definedName name="ASM3BP_v_5_PO4">'ASM3 + Bio-P'!$Q$103</definedName>
    <definedName name="ASM3BP_v_6_NH4">'ASM3 + Bio-P'!$N$104</definedName>
    <definedName name="ASM3BP_v_6_PO4">'ASM3 + Bio-P'!$Q$104</definedName>
    <definedName name="ASM3BP_v_7_NH4">'ASM3 + Bio-P'!$N$105</definedName>
    <definedName name="ASM3BP_v_7_NO">'ASM3 + Bio-P'!$O$105</definedName>
    <definedName name="ASM3BP_v_7_PO4">'ASM3 + Bio-P'!$Q$105</definedName>
    <definedName name="ASM3BP_v_9_NO">'ASM3 + Bio-P'!$O$107</definedName>
    <definedName name="ASM3BP_v_P01_NH4">'ASM3 + Bio-P'!$N$111</definedName>
    <definedName name="ASM3BP_v_P01_PO4">'ASM3 + Bio-P'!$Q$111</definedName>
    <definedName name="ASM3BP_v_P01_PP">'ASM3 + Bio-P'!$Y$111</definedName>
    <definedName name="ASM3BP_v_P02_PO4">'ASM3 + Bio-P'!$Q$112</definedName>
    <definedName name="ASM3BP_v_P02_PP">'ASM3 + Bio-P'!$Y$112</definedName>
    <definedName name="ASM3BP_v_P03_NO">'ASM3 + Bio-P'!$O$113</definedName>
    <definedName name="ASM3BP_v_P03_PO4">'ASM3 + Bio-P'!$Q$113</definedName>
    <definedName name="ASM3BP_v_P03_PP">'ASM3 + Bio-P'!$Y$113</definedName>
    <definedName name="ASM3BP_v_P04_NH4">'ASM3 + Bio-P'!$N$114</definedName>
    <definedName name="ASM3BP_v_P04_PO4">'ASM3 + Bio-P'!$Q$114</definedName>
    <definedName name="ASM3BP_v_P05_NH4">'ASM3 + Bio-P'!$N$115</definedName>
    <definedName name="ASM3BP_v_P05_NO">'ASM3 + Bio-P'!$O$115</definedName>
    <definedName name="ASM3BP_v_P05_PO4">'ASM3 + Bio-P'!$Q$115</definedName>
    <definedName name="ASM3BP_v_P06_NH4">'ASM3 + Bio-P'!$N$116</definedName>
    <definedName name="ASM3BP_v_P06_PO4">'ASM3 + Bio-P'!$Q$116</definedName>
    <definedName name="ASM3BP_v_P07_NH4">'ASM3 + Bio-P'!$N$116</definedName>
    <definedName name="ASM3BP_v_P07_NO">'ASM3 + Bio-P'!$O$117</definedName>
    <definedName name="ASM3BP_v_P07_PO4">'ASM3 + Bio-P'!$Q$117</definedName>
    <definedName name="ASM3BP_v_P08_PO4">'ASM3 + Bio-P'!$Q$118</definedName>
    <definedName name="ASM3BP_v_P08_PP">'ASM3 + Bio-P'!$Y$118</definedName>
    <definedName name="ASM3BP_v_P11_NO">'ASM3 + Bio-P'!$O$121</definedName>
    <definedName name="ASM3BP_Y_AUT">'ASM3 + Bio-P'!$G$40</definedName>
    <definedName name="ASM3BP_Y_H.NO">'ASM3 + Bio-P'!$G$31</definedName>
    <definedName name="ASM3BP_Y_H.O2">'ASM3 + Bio-P'!$G$30</definedName>
    <definedName name="ASM3BP_Y_PAO.NO">'ASM3 + Bio-P'!$G$36</definedName>
    <definedName name="ASM3BP_Y_PAO.O2">'ASM3 + Bio-P'!$G$35</definedName>
    <definedName name="ASM3BP_Y_PHA">'ASM3 + Bio-P'!$G$37</definedName>
    <definedName name="ASM3BP_Y_PO4">'ASM3 + Bio-P'!$G$38</definedName>
    <definedName name="ASM3BP_Y_STO.NO">'ASM3 + Bio-P'!$G$33</definedName>
    <definedName name="ASM3BP_Y_STO.O2">'ASM3 + Bio-P'!$G$32</definedName>
    <definedName name="NG_E_ANA">'New General'!$G$32</definedName>
    <definedName name="NG_E_ANOX">'New General'!$G$31</definedName>
    <definedName name="NG_f_EP.A">'New General'!$G$47</definedName>
    <definedName name="NG_f_EP.H">'New General'!$G$36</definedName>
    <definedName name="NG_f_EP.P">'New General'!$G$44</definedName>
    <definedName name="NG_f_ES.P">'New General'!$G$45</definedName>
    <definedName name="NG_f_N.SEP">'New General'!$G$48</definedName>
    <definedName name="NG_f_N.ZA">'New General'!$G$53</definedName>
    <definedName name="NG_f_N.ZEA">'New General'!$G$54</definedName>
    <definedName name="NG_f_N.ZEH">'New General'!$G$50</definedName>
    <definedName name="NG_f_N.ZEP">'New General'!$G$52</definedName>
    <definedName name="NG_f_N.ZH">'New General'!$G$49</definedName>
    <definedName name="NG_f_N.ZP">'New General'!$G$51</definedName>
    <definedName name="NG_f_P.REL">'New General'!$G$42</definedName>
    <definedName name="NG_f_P.UPT1">'New General'!$G$39</definedName>
    <definedName name="NG_f_P.UPT2">'New General'!$G$40</definedName>
    <definedName name="NG_f_P.ZA">'New General'!$G$59</definedName>
    <definedName name="NG_f_P.ZEA">'New General'!$G$60</definedName>
    <definedName name="NG_f_P.ZEH">'New General'!$G$56</definedName>
    <definedName name="NG_f_P.ZEP">'New General'!$G$58</definedName>
    <definedName name="NG_f_P.ZH">'New General'!$G$55</definedName>
    <definedName name="NG_f_P.ZP">'New General'!$G$57</definedName>
    <definedName name="NG_f_PP">'New General'!$G$43</definedName>
    <definedName name="NG_i_COD_H2">'New General'!$G$67</definedName>
    <definedName name="NG_i_COD_N2">'New General'!$G$66</definedName>
    <definedName name="NG_i_COD_NOx">'New General'!$G$65</definedName>
    <definedName name="NG_i_NOx.N2">'New General'!$G$64</definedName>
    <definedName name="NG_Y_A">'New General'!$G$46</definedName>
    <definedName name="NG_Y_AC">'New General'!$G$37</definedName>
    <definedName name="NG_Y_H.aer">'New General'!$G$33</definedName>
    <definedName name="NG_Y_H.ANA">'New General'!$G$35</definedName>
    <definedName name="NG_Y_H.ANOX">'New General'!$G$34</definedName>
    <definedName name="NG_Y_P">'New General'!$G$38</definedName>
    <definedName name="NG_Y_PHB">'New General'!$G$41</definedName>
    <definedName name="TUD_f_SI">'ASM2d + TUD'!$G$30</definedName>
    <definedName name="TUD_f_XI.A">'ASM2d + TUD'!$G$46</definedName>
    <definedName name="TUD_f_XI.H">'ASM2d + TUD'!$G$32</definedName>
    <definedName name="TUD_i_Charge_Ac">'ASM2d + TUD'!$G$66</definedName>
    <definedName name="TUD_i_Charge_NHx">'ASM2d + TUD'!$G$67</definedName>
    <definedName name="TUD_i_Charge_NOx">'ASM2d + TUD'!$G$68</definedName>
    <definedName name="TUD_i_Charge_PO4">'ASM2d + TUD'!$G$69</definedName>
    <definedName name="TUD_i_Charge_XPAO.PP">'ASM2d + TUD'!$G$70</definedName>
    <definedName name="TUD_i_COD_N2">'ASM2d + TUD'!$G$65</definedName>
    <definedName name="TUD_i_COD_NOx">'ASM2d + TUD'!$G$64</definedName>
    <definedName name="TUD_i_N.BM">'ASM2d + TUD'!$G$51</definedName>
    <definedName name="TUD_i_N.SF">'ASM2d + TUD'!$G$47</definedName>
    <definedName name="TUD_i_N.SI">'ASM2d + TUD'!$G$48</definedName>
    <definedName name="TUD_i_N.XI">'ASM2d + TUD'!$G$49</definedName>
    <definedName name="TUD_i_N.XS">'ASM2d + TUD'!$G$50</definedName>
    <definedName name="TUD_i_NOx.N2">'ASM2d + TUD'!$G$63</definedName>
    <definedName name="TUD_i_P.BM">'ASM2d + TUD'!$G$56</definedName>
    <definedName name="TUD_i_P.SF">'ASM2d + TUD'!$G$52</definedName>
    <definedName name="TUD_i_P.SI">'ASM2d + TUD'!$G$53</definedName>
    <definedName name="TUD_i_P.XI">'ASM2d + TUD'!$G$54</definedName>
    <definedName name="TUD_i_P.XS">'ASM2d + TUD'!$G$55</definedName>
    <definedName name="TUD_i_TSS.BM">'ASM2d + TUD'!$G$60</definedName>
    <definedName name="TUD_i_TSS.GLY">'ASM2d + TUD'!$G$62</definedName>
    <definedName name="TUD_i_TSS.PHA">'ASM2d + TUD'!$G$59</definedName>
    <definedName name="TUD_i_TSS.PP">'ASM2d + TUD'!$G$61</definedName>
    <definedName name="TUD_i_TSS.XI">'ASM2d + TUD'!$G$57</definedName>
    <definedName name="TUD_i_TSS.XS">'ASM2d + TUD'!$G$58</definedName>
    <definedName name="TUD_v_1_SNH">'ASM2d + TUD'!$O$98</definedName>
    <definedName name="TUD_v_1_SPO">'ASM2d + TUD'!$R$98</definedName>
    <definedName name="TUD_v_10_SPO">'ASM2d + TUD'!$R$107</definedName>
    <definedName name="TUD_v_10_XPP">'ASM2d + TUD'!$Y$107</definedName>
    <definedName name="TUD_v_12_SNO">'ASM2d + TUD'!$P$109</definedName>
    <definedName name="TUD_v_12_SPO">'ASM2d + TUD'!$R$109</definedName>
    <definedName name="TUD_v_12_XPP">'ASM2d + TUD'!$Y$109</definedName>
    <definedName name="TUD_v_13_SNH">'ASM2d + TUD'!$O$110</definedName>
    <definedName name="TUD_v_13_SNO">'ASM2d + TUD'!$P$110</definedName>
    <definedName name="TUD_v_13_SPO">'ASM2d + TUD'!$R$110</definedName>
    <definedName name="TUD_v_14_SNH">'ASM2d + TUD'!$O$111</definedName>
    <definedName name="TUD_v_14_SNO">'ASM2d + TUD'!$P$111</definedName>
    <definedName name="TUD_v_14_SPO">'ASM2d + TUD'!$R$111</definedName>
    <definedName name="TUD_v_15_SNH">'ASM2d + TUD'!$O$112</definedName>
    <definedName name="TUD_v_15_SNO">'ASM2d + TUD'!$P$112</definedName>
    <definedName name="TUD_v_15_SPO">'ASM2d + TUD'!$R$112</definedName>
    <definedName name="TUD_v_16_SNH">'ASM2d + TUD'!$O$113</definedName>
    <definedName name="TUD_v_16_SNO">'ASM2d + TUD'!$P$113</definedName>
    <definedName name="TUD_v_16_SPO">'ASM2d + TUD'!$R$113</definedName>
    <definedName name="TUD_v_17_SNH">'ASM2d + TUD'!$O$114</definedName>
    <definedName name="TUD_v_17_SPO">'ASM2d + TUD'!$R$114</definedName>
    <definedName name="TUD_v_18_SNH">'ASM2d + TUD'!$O$115</definedName>
    <definedName name="TUD_v_18_SPO">'ASM2d + TUD'!$R$115</definedName>
    <definedName name="TUD_v_19_SNH">'ASM2d + TUD'!$O$116</definedName>
    <definedName name="TUD_v_19_SPO">'ASM2d + TUD'!$R$116</definedName>
    <definedName name="TUD_v_2_SNH">'ASM2d + TUD'!$O$99</definedName>
    <definedName name="TUD_v_2_SPO">'ASM2d + TUD'!$R$99</definedName>
    <definedName name="TUD_v_20_SNH">'ASM2d + TUD'!$O$117</definedName>
    <definedName name="TUD_v_20_SPO">'ASM2d + TUD'!$R$117</definedName>
    <definedName name="TUD_v_21_SNH">'ASM2d + TUD'!$O$118</definedName>
    <definedName name="TUD_v_21_SNO">'ASM2d + TUD'!$P$118</definedName>
    <definedName name="TUD_v_21_SPO">'ASM2d + TUD'!$R$118</definedName>
    <definedName name="TUD_v_22_SNH">'ASM2d + TUD'!$O$119</definedName>
    <definedName name="TUD_v_22_SPO">'ASM2d + TUD'!$R$119</definedName>
    <definedName name="TUD_v_3_SNH">'ASM2d + TUD'!$O$100</definedName>
    <definedName name="TUD_v_3_SPO">'ASM2d + TUD'!$R$100</definedName>
    <definedName name="TUD_v_4_SNH">'ASM2d + TUD'!$O$101</definedName>
    <definedName name="TUD_v_4_SPO">'ASM2d + TUD'!$R$101</definedName>
    <definedName name="TUD_v_5_SA">'ASM2d + TUD'!$N$102</definedName>
    <definedName name="TUD_v_5_SNH">'ASM2d + TUD'!$O$102</definedName>
    <definedName name="TUD_v_5_SPO">'ASM2d + TUD'!$R$102</definedName>
    <definedName name="TUD_v_6_SNH">'ASM2d + TUD'!$O$103</definedName>
    <definedName name="TUD_v_6_SNO">'ASM2d + TUD'!$P$103</definedName>
    <definedName name="TUD_v_6_SPO">'ASM2d + TUD'!$R$103</definedName>
    <definedName name="TUD_v_7_SA">'ASM2d + TUD'!$N$104</definedName>
    <definedName name="TUD_v_7_SNH">'ASM2d + TUD'!$O$104</definedName>
    <definedName name="TUD_v_7_SNO">'ASM2d + TUD'!$P$104</definedName>
    <definedName name="TUD_v_7_SPO">'ASM2d + TUD'!$R$104</definedName>
    <definedName name="TUD_v_8_SNH">'ASM2d + TUD'!$O$105</definedName>
    <definedName name="TUD_v_8_SPO">'ASM2d + TUD'!$R$105</definedName>
    <definedName name="TUD_v_9_SNH">'ASM2d + TUD'!$O$106</definedName>
    <definedName name="TUD_v_9_SPO">'ASM2d + TUD'!$R$106</definedName>
    <definedName name="TUD_Y_A">'ASM2d + TUD'!$G$45</definedName>
    <definedName name="TUD_Y_GLY.NO">'ASM2d + TUD'!$G$41</definedName>
    <definedName name="TUD_Y_GLY.O">'ASM2d + TUD'!$G$42</definedName>
    <definedName name="TUD_Y_H">'ASM2d + TUD'!$G$31</definedName>
    <definedName name="TUD_Y_PHA.NO">'ASM2d + TUD'!$G$34</definedName>
    <definedName name="TUD_Y_PHA.O">'ASM2d + TUD'!$G$33</definedName>
    <definedName name="TUD_Y_PO.AN">'ASM2d + TUD'!$G$39</definedName>
    <definedName name="TUD_Y_PO.NO">'ASM2d + TUD'!$G$40</definedName>
    <definedName name="TUD_Y_PP.NO">'ASM2d + TUD'!$G$35</definedName>
    <definedName name="TUD_Y_PP.O">'ASM2d + TUD'!$G$36</definedName>
    <definedName name="TUD_Y_SA.AN">'ASM2d + TUD'!$G$37</definedName>
    <definedName name="TUD_Y_SA.NO">'ASM2d + TUD'!$G$38</definedName>
    <definedName name="UCTPHOP_Eta_PAO">'UCTPHO+'!$G$72</definedName>
    <definedName name="UCTPHOP_f_SI.PAO">'UCTPHO+'!$G$37</definedName>
    <definedName name="UCTPHOP_f_XE.H">'UCTPHO+'!$G$30</definedName>
    <definedName name="UCTPHOP_f_XE.NIT">'UCTPHO+'!$G$39</definedName>
    <definedName name="UCTPHOP_f_XE.PAO">'UCTPHO+'!$G$36</definedName>
    <definedName name="UCTPHOP_i_COD_N2">'UCTPHO+'!$G$54</definedName>
    <definedName name="UCTPHOP_i_COD_NOx">'UCTPHO+'!$G$53</definedName>
    <definedName name="UCTPHOP_i_NBM">'UCTPHO+'!$G$44</definedName>
    <definedName name="UCTPHOP_i_NENM">'UCTPHO+'!$G$43</definedName>
    <definedName name="UCTPHOP_i_NOx.N2">'UCTPHO+'!$G$52</definedName>
    <definedName name="UCTPHOP_i_NSF">'UCTPHO+'!$G$40</definedName>
    <definedName name="UCTPHOP_i_NSI">'UCTPHO+'!$G$41</definedName>
    <definedName name="UCTPHOP_i_NXE">'UCTPHO+'!$G$45</definedName>
    <definedName name="UCTPHOP_i_NXI">'UCTPHO+'!$G$42</definedName>
    <definedName name="UCTPHOP_i_PBM">'UCTPHO+'!$G$50</definedName>
    <definedName name="UCTPHOP_i_PENM">'UCTPHO+'!$G$49</definedName>
    <definedName name="UCTPHOP_i_PSF">'UCTPHO+'!$G$46</definedName>
    <definedName name="UCTPHOP_i_PSI">'UCTPHO+'!$G$47</definedName>
    <definedName name="UCTPHOP_i_PXE">'UCTPHO+'!$G$51</definedName>
    <definedName name="UCTPHOP_i_PXI">'UCTPHO+'!$G$48</definedName>
    <definedName name="UCTPHOP_Y_H1">'UCTPHO+'!$G$28</definedName>
    <definedName name="UCTPHOP_Y_H2">'UCTPHO+'!$G$29</definedName>
    <definedName name="UCTPHOP_Y_NIT">'UCTPHO+'!$G$38</definedName>
    <definedName name="UCTPHOP_Y_PAO1">'UCTPHO+'!$G$31</definedName>
    <definedName name="UCTPHOP_Y_PAO2">'UCTPHO+'!$G$32</definedName>
    <definedName name="UCTPHOP_Y_PO4">'UCTPHO+'!$G$35</definedName>
    <definedName name="UCTPHOP_Y_PP1">'UCTPHO+'!$G$33</definedName>
    <definedName name="UCTPHOP_Y_PP2">'UCTPHO+'!$G$34</definedName>
  </definedNames>
  <calcPr fullCalcOnLoad="1"/>
</workbook>
</file>

<file path=xl/sharedStrings.xml><?xml version="1.0" encoding="utf-8"?>
<sst xmlns="http://schemas.openxmlformats.org/spreadsheetml/2006/main" count="6310" uniqueCount="2693">
  <si>
    <t xml:space="preserve">A systematic approach for model verification: </t>
  </si>
  <si>
    <t xml:space="preserve">application on seven published Activated Sludge Models </t>
  </si>
  <si>
    <t>A systematic approach to verify models by tracking typing errors and inconsistencies in model development and software implementation is proposed. Then, stoichiometry and kinetic rate expressions are checked for each model and the errors found are reported in detail. A spreadsheet (http://www.iwaponline.com/wst/06104/00898.pdf) provides corrected matrices with the calculations of all stoichiometric coefficients for the discussed biokinetic models and gives an example of proper continuity checks.</t>
  </si>
  <si>
    <r>
      <t>μ</t>
    </r>
    <r>
      <rPr>
        <vertAlign val="subscript"/>
        <sz val="12"/>
        <color indexed="8"/>
        <rFont val="Arial"/>
        <family val="2"/>
      </rPr>
      <t>OHO,Max</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K</t>
    </r>
    <r>
      <rPr>
        <vertAlign val="subscript"/>
        <sz val="12"/>
        <color indexed="8"/>
        <rFont val="Arial"/>
        <family val="2"/>
      </rPr>
      <t>Ac,OHO</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</si>
  <si>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Maximum growth rate of X</t>
    </r>
    <r>
      <rPr>
        <vertAlign val="subscript"/>
        <sz val="10"/>
        <rFont val="Arial"/>
        <family val="2"/>
      </rPr>
      <t>OHO</t>
    </r>
    <r>
      <rPr>
        <sz val="10"/>
        <rFont val="Arial"/>
        <family val="2"/>
      </rPr>
      <t xml:space="preserve"> on X</t>
    </r>
    <r>
      <rPr>
        <vertAlign val="subscript"/>
        <sz val="10"/>
        <rFont val="Arial"/>
        <family val="2"/>
      </rPr>
      <t>Ads</t>
    </r>
    <r>
      <rPr>
        <sz val="10"/>
        <rFont val="Arial"/>
        <family val="2"/>
      </rPr>
      <t xml:space="preserve"> (hydrolysis + growth)</t>
    </r>
  </si>
  <si>
    <r>
      <t>-1/</t>
    </r>
    <r>
      <rPr>
        <i/>
        <sz val="12"/>
        <color indexed="8"/>
        <rFont val="Arial"/>
        <family val="2"/>
      </rPr>
      <t>Y</t>
    </r>
    <r>
      <rPr>
        <vertAlign val="subscript"/>
        <sz val="12"/>
        <color indexed="8"/>
        <rFont val="Arial"/>
        <family val="2"/>
      </rPr>
      <t>OHO,Ax</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i</t>
    </r>
    <r>
      <rPr>
        <vertAlign val="subscript"/>
        <sz val="12"/>
        <color indexed="10"/>
        <rFont val="Arial"/>
        <family val="2"/>
      </rPr>
      <t>N_XBio</t>
    </r>
  </si>
  <si>
    <r>
      <t>-</t>
    </r>
    <r>
      <rPr>
        <i/>
        <sz val="12"/>
        <color indexed="8"/>
        <rFont val="Arial"/>
        <family val="2"/>
      </rPr>
      <t>i</t>
    </r>
    <r>
      <rPr>
        <vertAlign val="subscript"/>
        <sz val="12"/>
        <color indexed="8"/>
        <rFont val="Arial"/>
        <family val="2"/>
      </rPr>
      <t>N_XBio</t>
    </r>
    <r>
      <rPr>
        <sz val="12"/>
        <color indexed="8"/>
        <rFont val="Arial"/>
        <family val="2"/>
      </rPr>
      <t>-(1-</t>
    </r>
    <r>
      <rPr>
        <i/>
        <sz val="12"/>
        <color indexed="8"/>
        <rFont val="Arial"/>
        <family val="2"/>
      </rPr>
      <t>Y</t>
    </r>
    <r>
      <rPr>
        <vertAlign val="subscript"/>
        <sz val="12"/>
        <color indexed="8"/>
        <rFont val="Arial"/>
        <family val="2"/>
      </rPr>
      <t>OHO,Ax</t>
    </r>
    <r>
      <rPr>
        <sz val="12"/>
        <color indexed="8"/>
        <rFont val="Arial"/>
        <family val="2"/>
      </rPr>
      <t>)/(</t>
    </r>
    <r>
      <rPr>
        <i/>
        <sz val="12"/>
        <color indexed="8"/>
        <rFont val="Arial"/>
        <family val="2"/>
      </rPr>
      <t>i</t>
    </r>
    <r>
      <rPr>
        <vertAlign val="subscript"/>
        <sz val="12"/>
        <color indexed="8"/>
        <rFont val="Arial"/>
        <family val="2"/>
      </rPr>
      <t>NOx,N2</t>
    </r>
    <r>
      <rPr>
        <sz val="12"/>
        <color indexed="8"/>
        <rFont val="Arial"/>
        <family val="2"/>
      </rPr>
      <t>*</t>
    </r>
    <r>
      <rPr>
        <i/>
        <sz val="12"/>
        <color indexed="8"/>
        <rFont val="Arial"/>
        <family val="2"/>
      </rPr>
      <t>Y</t>
    </r>
    <r>
      <rPr>
        <vertAlign val="subscript"/>
        <sz val="12"/>
        <color indexed="8"/>
        <rFont val="Arial"/>
        <family val="2"/>
      </rPr>
      <t>OHO,Ax</t>
    </r>
    <r>
      <rPr>
        <sz val="12"/>
        <color indexed="8"/>
        <rFont val="Arial"/>
        <family val="2"/>
      </rPr>
      <t>)</t>
    </r>
  </si>
  <si>
    <r>
      <t>μ</t>
    </r>
    <r>
      <rPr>
        <vertAlign val="subscript"/>
        <sz val="12"/>
        <color indexed="8"/>
        <rFont val="Arial"/>
        <family val="2"/>
      </rPr>
      <t>OHO,Max</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K</t>
    </r>
    <r>
      <rPr>
        <vertAlign val="subscript"/>
        <sz val="12"/>
        <color indexed="8"/>
        <rFont val="Arial"/>
        <family val="2"/>
      </rPr>
      <t>Ac,OHO</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</si>
  <si>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Maximum adsorption on X</t>
    </r>
    <r>
      <rPr>
        <vertAlign val="subscript"/>
        <sz val="10"/>
        <rFont val="Arial"/>
        <family val="2"/>
      </rPr>
      <t>OHO</t>
    </r>
    <r>
      <rPr>
        <sz val="10"/>
        <rFont val="Arial"/>
        <family val="2"/>
      </rPr>
      <t xml:space="preserve"> (X</t>
    </r>
    <r>
      <rPr>
        <vertAlign val="subscript"/>
        <sz val="10"/>
        <rFont val="Arial"/>
        <family val="2"/>
      </rPr>
      <t>Ads</t>
    </r>
    <r>
      <rPr>
        <sz val="10"/>
        <rFont val="Arial"/>
        <family val="2"/>
      </rPr>
      <t>/X</t>
    </r>
    <r>
      <rPr>
        <vertAlign val="subscript"/>
        <sz val="10"/>
        <rFont val="Arial"/>
        <family val="2"/>
      </rPr>
      <t>OHO</t>
    </r>
    <r>
      <rPr>
        <sz val="10"/>
        <rFont val="Arial"/>
        <family val="2"/>
      </rPr>
      <t xml:space="preserve"> ratio)</t>
    </r>
  </si>
  <si>
    <r>
      <t>g X</t>
    </r>
    <r>
      <rPr>
        <vertAlign val="subscript"/>
        <sz val="8"/>
        <rFont val="Arial"/>
        <family val="2"/>
      </rPr>
      <t>Ads</t>
    </r>
    <r>
      <rPr>
        <sz val="8"/>
        <rFont val="Arial"/>
        <family val="2"/>
      </rPr>
      <t>.g X</t>
    </r>
    <r>
      <rPr>
        <vertAlign val="subscript"/>
        <sz val="8"/>
        <rFont val="Arial"/>
        <family val="2"/>
      </rPr>
      <t>OHO</t>
    </r>
    <r>
      <rPr>
        <vertAlign val="superscript"/>
        <sz val="10"/>
        <rFont val="Arial"/>
        <family val="2"/>
      </rPr>
      <t>-1</t>
    </r>
  </si>
  <si>
    <r>
      <t>Aerobic growth of X</t>
    </r>
    <r>
      <rPr>
        <b/>
        <vertAlign val="subscript"/>
        <sz val="10"/>
        <color indexed="8"/>
        <rFont val="Arial"/>
        <family val="2"/>
      </rPr>
      <t xml:space="preserve">OHO </t>
    </r>
    <r>
      <rPr>
        <b/>
        <sz val="10"/>
        <color indexed="8"/>
        <rFont val="Arial"/>
        <family val="2"/>
      </rPr>
      <t>on S</t>
    </r>
    <r>
      <rPr>
        <b/>
        <vertAlign val="subscript"/>
        <sz val="10"/>
        <color indexed="8"/>
        <rFont val="Arial"/>
        <family val="2"/>
      </rPr>
      <t>F</t>
    </r>
    <r>
      <rPr>
        <b/>
        <sz val="10"/>
        <color indexed="8"/>
        <rFont val="Arial"/>
        <family val="2"/>
      </rPr>
      <t xml:space="preserve"> with S</t>
    </r>
    <r>
      <rPr>
        <b/>
        <vertAlign val="subscript"/>
        <sz val="10"/>
        <color indexed="8"/>
        <rFont val="Arial"/>
        <family val="2"/>
      </rPr>
      <t>NHx</t>
    </r>
  </si>
  <si>
    <r>
      <t>-</t>
    </r>
    <r>
      <rPr>
        <i/>
        <sz val="12"/>
        <color indexed="8"/>
        <rFont val="Arial"/>
        <family val="2"/>
      </rPr>
      <t>i</t>
    </r>
    <r>
      <rPr>
        <vertAlign val="subscript"/>
        <sz val="12"/>
        <color indexed="8"/>
        <rFont val="Arial"/>
        <family val="2"/>
      </rPr>
      <t>N_XBio</t>
    </r>
    <r>
      <rPr>
        <sz val="12"/>
        <color indexed="8"/>
        <rFont val="Arial"/>
        <family val="2"/>
      </rPr>
      <t>+</t>
    </r>
    <r>
      <rPr>
        <i/>
        <sz val="12"/>
        <color indexed="8"/>
        <rFont val="Arial"/>
        <family val="2"/>
      </rPr>
      <t>i</t>
    </r>
    <r>
      <rPr>
        <vertAlign val="subscript"/>
        <sz val="12"/>
        <color indexed="8"/>
        <rFont val="Arial"/>
        <family val="2"/>
      </rPr>
      <t>N_SF</t>
    </r>
    <r>
      <rPr>
        <sz val="12"/>
        <color indexed="8"/>
        <rFont val="Arial"/>
        <family val="2"/>
      </rPr>
      <t>/</t>
    </r>
    <r>
      <rPr>
        <i/>
        <sz val="12"/>
        <color indexed="8"/>
        <rFont val="Arial"/>
        <family val="2"/>
      </rPr>
      <t>Y</t>
    </r>
    <r>
      <rPr>
        <vertAlign val="subscript"/>
        <sz val="12"/>
        <color indexed="8"/>
        <rFont val="Arial"/>
        <family val="2"/>
      </rPr>
      <t>OHO,Ox</t>
    </r>
  </si>
  <si>
    <r>
      <t>-</t>
    </r>
    <r>
      <rPr>
        <i/>
        <sz val="12"/>
        <color indexed="8"/>
        <rFont val="Arial"/>
        <family val="2"/>
      </rPr>
      <t>i</t>
    </r>
    <r>
      <rPr>
        <vertAlign val="subscript"/>
        <sz val="12"/>
        <color indexed="8"/>
        <rFont val="Arial"/>
        <family val="2"/>
      </rPr>
      <t>P_XBio</t>
    </r>
    <r>
      <rPr>
        <sz val="12"/>
        <color indexed="10"/>
        <rFont val="Arial"/>
        <family val="2"/>
      </rPr>
      <t>+</t>
    </r>
    <r>
      <rPr>
        <i/>
        <sz val="12"/>
        <color indexed="10"/>
        <rFont val="Arial"/>
        <family val="2"/>
      </rPr>
      <t>i</t>
    </r>
    <r>
      <rPr>
        <vertAlign val="subscript"/>
        <sz val="12"/>
        <color indexed="10"/>
        <rFont val="Arial"/>
        <family val="2"/>
      </rPr>
      <t>P_SF</t>
    </r>
    <r>
      <rPr>
        <sz val="12"/>
        <color indexed="10"/>
        <rFont val="Arial"/>
        <family val="2"/>
      </rPr>
      <t>/</t>
    </r>
    <r>
      <rPr>
        <i/>
        <sz val="12"/>
        <color indexed="10"/>
        <rFont val="Arial"/>
        <family val="2"/>
      </rPr>
      <t>Y</t>
    </r>
    <r>
      <rPr>
        <vertAlign val="subscript"/>
        <sz val="12"/>
        <color indexed="10"/>
        <rFont val="Arial"/>
        <family val="2"/>
      </rPr>
      <t>OHO,Ox</t>
    </r>
  </si>
  <si>
    <r>
      <t>μ</t>
    </r>
    <r>
      <rPr>
        <vertAlign val="subscript"/>
        <sz val="12"/>
        <color indexed="8"/>
        <rFont val="Arial"/>
        <family val="2"/>
      </rPr>
      <t>OHO,Max</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SF,OHO</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</si>
  <si>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i</t>
    </r>
    <r>
      <rPr>
        <vertAlign val="subscript"/>
        <sz val="12"/>
        <color indexed="8"/>
        <rFont val="Arial"/>
        <family val="2"/>
      </rPr>
      <t>N_SF</t>
    </r>
    <r>
      <rPr>
        <sz val="12"/>
        <color indexed="8"/>
        <rFont val="Arial"/>
        <family val="2"/>
      </rPr>
      <t>/</t>
    </r>
    <r>
      <rPr>
        <i/>
        <sz val="12"/>
        <color indexed="8"/>
        <rFont val="Arial"/>
        <family val="2"/>
      </rPr>
      <t>Y</t>
    </r>
    <r>
      <rPr>
        <vertAlign val="subscript"/>
        <sz val="12"/>
        <color indexed="8"/>
        <rFont val="Arial"/>
        <family val="2"/>
      </rPr>
      <t>OHO,Ox</t>
    </r>
  </si>
  <si>
    <r>
      <t>μ</t>
    </r>
    <r>
      <rPr>
        <vertAlign val="subscript"/>
        <sz val="12"/>
        <color indexed="8"/>
        <rFont val="Arial"/>
        <family val="2"/>
      </rPr>
      <t>OHO,Max</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SF,OHO</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</si>
  <si>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Anoxic growth of X</t>
    </r>
    <r>
      <rPr>
        <b/>
        <vertAlign val="subscript"/>
        <sz val="10"/>
        <color indexed="8"/>
        <rFont val="Arial"/>
        <family val="2"/>
      </rPr>
      <t xml:space="preserve">OHO  </t>
    </r>
    <r>
      <rPr>
        <b/>
        <sz val="10"/>
        <color indexed="8"/>
        <rFont val="Arial"/>
        <family val="2"/>
      </rPr>
      <t>on S</t>
    </r>
    <r>
      <rPr>
        <b/>
        <vertAlign val="subscript"/>
        <sz val="10"/>
        <color indexed="8"/>
        <rFont val="Arial"/>
        <family val="2"/>
      </rPr>
      <t>F</t>
    </r>
    <r>
      <rPr>
        <b/>
        <sz val="10"/>
        <color indexed="8"/>
        <rFont val="Arial"/>
        <family val="2"/>
      </rPr>
      <t xml:space="preserve"> with S</t>
    </r>
    <r>
      <rPr>
        <b/>
        <vertAlign val="subscript"/>
        <sz val="10"/>
        <color indexed="8"/>
        <rFont val="Arial"/>
        <family val="2"/>
      </rPr>
      <t>NHx</t>
    </r>
  </si>
  <si>
    <r>
      <t>-</t>
    </r>
    <r>
      <rPr>
        <i/>
        <sz val="12"/>
        <color indexed="8"/>
        <rFont val="Arial"/>
        <family val="2"/>
      </rPr>
      <t>i</t>
    </r>
    <r>
      <rPr>
        <vertAlign val="subscript"/>
        <sz val="12"/>
        <color indexed="8"/>
        <rFont val="Arial"/>
        <family val="2"/>
      </rPr>
      <t>N_XBio</t>
    </r>
    <r>
      <rPr>
        <sz val="12"/>
        <color indexed="8"/>
        <rFont val="Arial"/>
        <family val="2"/>
      </rPr>
      <t>+</t>
    </r>
    <r>
      <rPr>
        <i/>
        <sz val="12"/>
        <color indexed="8"/>
        <rFont val="Arial"/>
        <family val="2"/>
      </rPr>
      <t>i</t>
    </r>
    <r>
      <rPr>
        <vertAlign val="subscript"/>
        <sz val="12"/>
        <color indexed="8"/>
        <rFont val="Arial"/>
        <family val="2"/>
      </rPr>
      <t>N_SF</t>
    </r>
    <r>
      <rPr>
        <sz val="12"/>
        <color indexed="8"/>
        <rFont val="Arial"/>
        <family val="2"/>
      </rPr>
      <t>/</t>
    </r>
    <r>
      <rPr>
        <i/>
        <sz val="12"/>
        <color indexed="8"/>
        <rFont val="Arial"/>
        <family val="2"/>
      </rPr>
      <t>Y</t>
    </r>
    <r>
      <rPr>
        <vertAlign val="subscript"/>
        <sz val="12"/>
        <color indexed="8"/>
        <rFont val="Arial"/>
        <family val="2"/>
      </rPr>
      <t>OHO,Ax</t>
    </r>
  </si>
  <si>
    <r>
      <t>-</t>
    </r>
    <r>
      <rPr>
        <i/>
        <sz val="12"/>
        <color indexed="8"/>
        <rFont val="Arial"/>
        <family val="2"/>
      </rPr>
      <t>i</t>
    </r>
    <r>
      <rPr>
        <vertAlign val="subscript"/>
        <sz val="12"/>
        <color indexed="8"/>
        <rFont val="Arial"/>
        <family val="2"/>
      </rPr>
      <t>P_XBio</t>
    </r>
    <r>
      <rPr>
        <sz val="12"/>
        <color indexed="10"/>
        <rFont val="Arial"/>
        <family val="2"/>
      </rPr>
      <t>+</t>
    </r>
    <r>
      <rPr>
        <i/>
        <sz val="12"/>
        <color indexed="10"/>
        <rFont val="Arial"/>
        <family val="2"/>
      </rPr>
      <t>i</t>
    </r>
    <r>
      <rPr>
        <vertAlign val="subscript"/>
        <sz val="12"/>
        <color indexed="10"/>
        <rFont val="Arial"/>
        <family val="2"/>
      </rPr>
      <t>P_SF</t>
    </r>
    <r>
      <rPr>
        <sz val="12"/>
        <color indexed="10"/>
        <rFont val="Arial"/>
        <family val="2"/>
      </rPr>
      <t>/</t>
    </r>
    <r>
      <rPr>
        <i/>
        <sz val="12"/>
        <color indexed="10"/>
        <rFont val="Arial"/>
        <family val="2"/>
      </rPr>
      <t>Y</t>
    </r>
    <r>
      <rPr>
        <vertAlign val="subscript"/>
        <sz val="12"/>
        <color indexed="10"/>
        <rFont val="Arial"/>
        <family val="2"/>
      </rPr>
      <t>OHO,Ax</t>
    </r>
  </si>
  <si>
    <r>
      <t>μ</t>
    </r>
    <r>
      <rPr>
        <vertAlign val="subscript"/>
        <sz val="12"/>
        <color indexed="8"/>
        <rFont val="Arial"/>
        <family val="2"/>
      </rPr>
      <t>OHO,Max</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SF,OHO</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</si>
  <si>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i</t>
    </r>
    <r>
      <rPr>
        <vertAlign val="subscript"/>
        <sz val="12"/>
        <color indexed="8"/>
        <rFont val="Arial"/>
        <family val="2"/>
      </rPr>
      <t>N_SF</t>
    </r>
    <r>
      <rPr>
        <sz val="12"/>
        <color indexed="8"/>
        <rFont val="Arial"/>
        <family val="2"/>
      </rPr>
      <t>/</t>
    </r>
    <r>
      <rPr>
        <i/>
        <sz val="12"/>
        <color indexed="8"/>
        <rFont val="Arial"/>
        <family val="2"/>
      </rPr>
      <t>Y</t>
    </r>
    <r>
      <rPr>
        <vertAlign val="subscript"/>
        <sz val="12"/>
        <color indexed="8"/>
        <rFont val="Arial"/>
        <family val="2"/>
      </rPr>
      <t>OHO,Ax</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i</t>
    </r>
    <r>
      <rPr>
        <vertAlign val="subscript"/>
        <sz val="12"/>
        <color indexed="10"/>
        <rFont val="Arial"/>
        <family val="2"/>
      </rPr>
      <t>N_XBio</t>
    </r>
    <r>
      <rPr>
        <sz val="12"/>
        <color indexed="10"/>
        <rFont val="Arial"/>
        <family val="2"/>
      </rPr>
      <t>*</t>
    </r>
    <r>
      <rPr>
        <i/>
        <sz val="12"/>
        <color indexed="10"/>
        <rFont val="Arial"/>
        <family val="2"/>
      </rPr>
      <t>i</t>
    </r>
    <r>
      <rPr>
        <vertAlign val="subscript"/>
        <sz val="12"/>
        <color indexed="10"/>
        <rFont val="Arial"/>
        <family val="2"/>
      </rPr>
      <t>N_SF</t>
    </r>
  </si>
  <si>
    <r>
      <t>-</t>
    </r>
    <r>
      <rPr>
        <i/>
        <sz val="12"/>
        <color indexed="8"/>
        <rFont val="Arial"/>
        <family val="2"/>
      </rPr>
      <t>i</t>
    </r>
    <r>
      <rPr>
        <vertAlign val="subscript"/>
        <sz val="12"/>
        <color indexed="8"/>
        <rFont val="Arial"/>
        <family val="2"/>
      </rPr>
      <t>P_XBio</t>
    </r>
    <r>
      <rPr>
        <sz val="12"/>
        <color indexed="10"/>
        <rFont val="Arial"/>
        <family val="2"/>
      </rPr>
      <t>+</t>
    </r>
    <r>
      <rPr>
        <i/>
        <sz val="12"/>
        <color indexed="10"/>
        <rFont val="Arial"/>
        <family val="2"/>
      </rPr>
      <t>i</t>
    </r>
    <r>
      <rPr>
        <vertAlign val="subscript"/>
        <sz val="12"/>
        <color indexed="10"/>
        <rFont val="Arial"/>
        <family val="2"/>
      </rPr>
      <t>P_SF</t>
    </r>
    <r>
      <rPr>
        <sz val="12"/>
        <color indexed="10"/>
        <rFont val="Arial"/>
        <family val="2"/>
      </rPr>
      <t>/</t>
    </r>
    <r>
      <rPr>
        <i/>
        <sz val="12"/>
        <color indexed="10"/>
        <rFont val="Arial"/>
        <family val="2"/>
      </rPr>
      <t>Y</t>
    </r>
    <r>
      <rPr>
        <vertAlign val="subscript"/>
        <sz val="12"/>
        <color indexed="10"/>
        <rFont val="Arial"/>
        <family val="2"/>
      </rPr>
      <t>OHO,Ax</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i</t>
    </r>
    <r>
      <rPr>
        <vertAlign val="subscript"/>
        <sz val="12"/>
        <color indexed="10"/>
        <rFont val="Arial"/>
        <family val="2"/>
      </rPr>
      <t>N_XBio</t>
    </r>
    <r>
      <rPr>
        <sz val="12"/>
        <color indexed="10"/>
        <rFont val="Arial"/>
        <family val="2"/>
      </rPr>
      <t>*</t>
    </r>
    <r>
      <rPr>
        <i/>
        <sz val="12"/>
        <color indexed="10"/>
        <rFont val="Arial"/>
        <family val="2"/>
      </rPr>
      <t>i</t>
    </r>
    <r>
      <rPr>
        <vertAlign val="subscript"/>
        <sz val="12"/>
        <color indexed="10"/>
        <rFont val="Arial"/>
        <family val="2"/>
      </rPr>
      <t>P_SF</t>
    </r>
  </si>
  <si>
    <r>
      <t>μ</t>
    </r>
    <r>
      <rPr>
        <vertAlign val="subscript"/>
        <sz val="12"/>
        <color indexed="8"/>
        <rFont val="Arial"/>
        <family val="2"/>
      </rPr>
      <t>OHO,Max</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SF,OHO</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</si>
  <si>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Half saturation parameter for hydrolysis/growth on X</t>
    </r>
    <r>
      <rPr>
        <vertAlign val="subscript"/>
        <sz val="10"/>
        <rFont val="Arial"/>
        <family val="2"/>
      </rPr>
      <t>Ads</t>
    </r>
  </si>
  <si>
    <r>
      <t>Aerobic growth of X</t>
    </r>
    <r>
      <rPr>
        <b/>
        <vertAlign val="subscript"/>
        <sz val="10"/>
        <color indexed="8"/>
        <rFont val="Arial"/>
        <family val="2"/>
      </rPr>
      <t xml:space="preserve">OHO </t>
    </r>
    <r>
      <rPr>
        <b/>
        <sz val="10"/>
        <color indexed="8"/>
        <rFont val="Arial"/>
        <family val="2"/>
      </rPr>
      <t>on X</t>
    </r>
    <r>
      <rPr>
        <b/>
        <vertAlign val="subscript"/>
        <sz val="10"/>
        <color indexed="8"/>
        <rFont val="Arial"/>
        <family val="2"/>
      </rPr>
      <t>Ads</t>
    </r>
    <r>
      <rPr>
        <b/>
        <sz val="10"/>
        <color indexed="8"/>
        <rFont val="Arial"/>
        <family val="2"/>
      </rPr>
      <t xml:space="preserve"> with S</t>
    </r>
    <r>
      <rPr>
        <b/>
        <vertAlign val="subscript"/>
        <sz val="10"/>
        <color indexed="8"/>
        <rFont val="Arial"/>
        <family val="2"/>
      </rPr>
      <t>NHx</t>
    </r>
  </si>
  <si>
    <r>
      <t>-</t>
    </r>
    <r>
      <rPr>
        <i/>
        <sz val="12"/>
        <color indexed="8"/>
        <rFont val="Arial"/>
        <family val="2"/>
      </rPr>
      <t>i</t>
    </r>
    <r>
      <rPr>
        <vertAlign val="subscript"/>
        <sz val="12"/>
        <color indexed="8"/>
        <rFont val="Arial"/>
        <family val="2"/>
      </rPr>
      <t>N_XBio</t>
    </r>
    <r>
      <rPr>
        <sz val="12"/>
        <color indexed="8"/>
        <rFont val="Arial"/>
        <family val="2"/>
      </rPr>
      <t>+</t>
    </r>
    <r>
      <rPr>
        <i/>
        <sz val="12"/>
        <color indexed="8"/>
        <rFont val="Arial"/>
        <family val="2"/>
      </rPr>
      <t>i</t>
    </r>
    <r>
      <rPr>
        <vertAlign val="subscript"/>
        <sz val="12"/>
        <color indexed="8"/>
        <rFont val="Arial"/>
        <family val="2"/>
      </rPr>
      <t>N_XCB</t>
    </r>
    <r>
      <rPr>
        <sz val="12"/>
        <color indexed="8"/>
        <rFont val="Arial"/>
        <family val="2"/>
      </rPr>
      <t>/</t>
    </r>
    <r>
      <rPr>
        <i/>
        <sz val="12"/>
        <color indexed="8"/>
        <rFont val="Arial"/>
        <family val="2"/>
      </rPr>
      <t>Y</t>
    </r>
    <r>
      <rPr>
        <vertAlign val="subscript"/>
        <sz val="12"/>
        <color indexed="8"/>
        <rFont val="Arial"/>
        <family val="2"/>
      </rPr>
      <t>OHO,Ox</t>
    </r>
  </si>
  <si>
    <r>
      <t>-</t>
    </r>
    <r>
      <rPr>
        <i/>
        <sz val="12"/>
        <color indexed="8"/>
        <rFont val="Arial"/>
        <family val="2"/>
      </rPr>
      <t>i</t>
    </r>
    <r>
      <rPr>
        <vertAlign val="subscript"/>
        <sz val="12"/>
        <color indexed="8"/>
        <rFont val="Arial"/>
        <family val="2"/>
      </rPr>
      <t>P_XBio</t>
    </r>
    <r>
      <rPr>
        <sz val="12"/>
        <color indexed="10"/>
        <rFont val="Arial"/>
        <family val="2"/>
      </rPr>
      <t>+</t>
    </r>
    <r>
      <rPr>
        <i/>
        <sz val="12"/>
        <color indexed="10"/>
        <rFont val="Arial"/>
        <family val="2"/>
      </rPr>
      <t>i</t>
    </r>
    <r>
      <rPr>
        <vertAlign val="subscript"/>
        <sz val="12"/>
        <color indexed="10"/>
        <rFont val="Arial"/>
        <family val="2"/>
      </rPr>
      <t>P_XCB</t>
    </r>
    <r>
      <rPr>
        <sz val="12"/>
        <color indexed="10"/>
        <rFont val="Arial"/>
        <family val="2"/>
      </rPr>
      <t>/</t>
    </r>
    <r>
      <rPr>
        <i/>
        <sz val="12"/>
        <color indexed="10"/>
        <rFont val="Arial"/>
        <family val="2"/>
      </rPr>
      <t>Y</t>
    </r>
    <r>
      <rPr>
        <vertAlign val="subscript"/>
        <sz val="12"/>
        <color indexed="10"/>
        <rFont val="Arial"/>
        <family val="2"/>
      </rPr>
      <t>OHO,Ox</t>
    </r>
  </si>
  <si>
    <r>
      <t>μ</t>
    </r>
    <r>
      <rPr>
        <vertAlign val="subscript"/>
        <sz val="12"/>
        <color indexed="8"/>
        <rFont val="Arial"/>
        <family val="2"/>
      </rPr>
      <t>Ads_OHO,Max</t>
    </r>
    <r>
      <rPr>
        <sz val="12"/>
        <color indexed="8"/>
        <rFont val="Arial"/>
        <family val="2"/>
      </rPr>
      <t>*[(</t>
    </r>
    <r>
      <rPr>
        <i/>
        <sz val="12"/>
        <color indexed="8"/>
        <rFont val="Arial"/>
        <family val="2"/>
      </rPr>
      <t>X</t>
    </r>
    <r>
      <rPr>
        <vertAlign val="subscript"/>
        <sz val="12"/>
        <color indexed="8"/>
        <rFont val="Arial"/>
        <family val="2"/>
      </rPr>
      <t>Ads</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K</t>
    </r>
    <r>
      <rPr>
        <vertAlign val="subscript"/>
        <sz val="12"/>
        <color indexed="8"/>
        <rFont val="Arial"/>
        <family val="2"/>
      </rPr>
      <t>Ads_OHO</t>
    </r>
    <r>
      <rPr>
        <sz val="12"/>
        <color indexed="8"/>
        <rFont val="Arial"/>
        <family val="2"/>
      </rPr>
      <t>+(</t>
    </r>
    <r>
      <rPr>
        <i/>
        <sz val="12"/>
        <color indexed="8"/>
        <rFont val="Arial"/>
        <family val="2"/>
      </rPr>
      <t>X</t>
    </r>
    <r>
      <rPr>
        <vertAlign val="subscript"/>
        <sz val="12"/>
        <color indexed="8"/>
        <rFont val="Arial"/>
        <family val="2"/>
      </rPr>
      <t>Ads</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</si>
  <si>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i</t>
    </r>
    <r>
      <rPr>
        <vertAlign val="subscript"/>
        <sz val="12"/>
        <color indexed="8"/>
        <rFont val="Arial"/>
        <family val="2"/>
      </rPr>
      <t>N_XCB</t>
    </r>
    <r>
      <rPr>
        <sz val="12"/>
        <color indexed="8"/>
        <rFont val="Arial"/>
        <family val="2"/>
      </rPr>
      <t>/</t>
    </r>
    <r>
      <rPr>
        <i/>
        <sz val="12"/>
        <color indexed="8"/>
        <rFont val="Arial"/>
        <family val="2"/>
      </rPr>
      <t>Y</t>
    </r>
    <r>
      <rPr>
        <vertAlign val="subscript"/>
        <sz val="12"/>
        <color indexed="8"/>
        <rFont val="Arial"/>
        <family val="2"/>
      </rPr>
      <t>OHO,Ox</t>
    </r>
  </si>
  <si>
    <r>
      <t>μ</t>
    </r>
    <r>
      <rPr>
        <vertAlign val="subscript"/>
        <sz val="12"/>
        <color indexed="8"/>
        <rFont val="Arial"/>
        <family val="2"/>
      </rPr>
      <t>Ads_OHO,Max</t>
    </r>
    <r>
      <rPr>
        <sz val="12"/>
        <color indexed="8"/>
        <rFont val="Arial"/>
        <family val="2"/>
      </rPr>
      <t>*[(</t>
    </r>
    <r>
      <rPr>
        <i/>
        <sz val="12"/>
        <color indexed="8"/>
        <rFont val="Arial"/>
        <family val="2"/>
      </rPr>
      <t>X</t>
    </r>
    <r>
      <rPr>
        <vertAlign val="subscript"/>
        <sz val="12"/>
        <color indexed="8"/>
        <rFont val="Arial"/>
        <family val="2"/>
      </rPr>
      <t>Ads</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K</t>
    </r>
    <r>
      <rPr>
        <vertAlign val="subscript"/>
        <sz val="12"/>
        <color indexed="8"/>
        <rFont val="Arial"/>
        <family val="2"/>
      </rPr>
      <t>Ads_OHO</t>
    </r>
    <r>
      <rPr>
        <sz val="12"/>
        <color indexed="8"/>
        <rFont val="Arial"/>
        <family val="2"/>
      </rPr>
      <t>+(</t>
    </r>
    <r>
      <rPr>
        <i/>
        <sz val="12"/>
        <color indexed="8"/>
        <rFont val="Arial"/>
        <family val="2"/>
      </rPr>
      <t>X</t>
    </r>
    <r>
      <rPr>
        <vertAlign val="subscript"/>
        <sz val="12"/>
        <color indexed="8"/>
        <rFont val="Arial"/>
        <family val="2"/>
      </rPr>
      <t>Ads</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NOx</t>
    </r>
    <r>
      <rPr>
        <sz val="12"/>
        <color indexed="10"/>
        <rFont val="Arial"/>
        <family val="2"/>
      </rPr>
      <t>/(</t>
    </r>
    <r>
      <rPr>
        <i/>
        <sz val="12"/>
        <color indexed="10"/>
        <rFont val="Arial"/>
        <family val="2"/>
      </rPr>
      <t>K</t>
    </r>
    <r>
      <rPr>
        <vertAlign val="subscript"/>
        <sz val="12"/>
        <color indexed="10"/>
        <rFont val="Arial"/>
        <family val="2"/>
      </rPr>
      <t>NOx,OHO</t>
    </r>
    <r>
      <rPr>
        <sz val="12"/>
        <color indexed="10"/>
        <rFont val="Arial"/>
        <family val="2"/>
      </rPr>
      <t>+</t>
    </r>
    <r>
      <rPr>
        <i/>
        <sz val="12"/>
        <color indexed="10"/>
        <rFont val="Arial"/>
        <family val="2"/>
      </rPr>
      <t>S</t>
    </r>
    <r>
      <rPr>
        <vertAlign val="subscript"/>
        <sz val="12"/>
        <color indexed="10"/>
        <rFont val="Arial"/>
        <family val="2"/>
      </rPr>
      <t>NOx</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</si>
  <si>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Anoxic growth of X</t>
    </r>
    <r>
      <rPr>
        <b/>
        <vertAlign val="subscript"/>
        <sz val="10"/>
        <color indexed="8"/>
        <rFont val="Arial"/>
        <family val="2"/>
      </rPr>
      <t xml:space="preserve">OHO </t>
    </r>
    <r>
      <rPr>
        <b/>
        <sz val="10"/>
        <color indexed="8"/>
        <rFont val="Arial"/>
        <family val="2"/>
      </rPr>
      <t>on X</t>
    </r>
    <r>
      <rPr>
        <b/>
        <vertAlign val="subscript"/>
        <sz val="10"/>
        <color indexed="8"/>
        <rFont val="Arial"/>
        <family val="2"/>
      </rPr>
      <t>Ads</t>
    </r>
    <r>
      <rPr>
        <b/>
        <sz val="10"/>
        <color indexed="8"/>
        <rFont val="Arial"/>
        <family val="2"/>
      </rPr>
      <t xml:space="preserve"> with S</t>
    </r>
    <r>
      <rPr>
        <b/>
        <vertAlign val="subscript"/>
        <sz val="10"/>
        <color indexed="8"/>
        <rFont val="Arial"/>
        <family val="2"/>
      </rPr>
      <t>NHx</t>
    </r>
  </si>
  <si>
    <r>
      <t>-</t>
    </r>
    <r>
      <rPr>
        <i/>
        <sz val="12"/>
        <color indexed="8"/>
        <rFont val="Arial"/>
        <family val="2"/>
      </rPr>
      <t>i</t>
    </r>
    <r>
      <rPr>
        <vertAlign val="subscript"/>
        <sz val="12"/>
        <color indexed="8"/>
        <rFont val="Arial"/>
        <family val="2"/>
      </rPr>
      <t>N_XBio</t>
    </r>
    <r>
      <rPr>
        <sz val="12"/>
        <color indexed="8"/>
        <rFont val="Arial"/>
        <family val="2"/>
      </rPr>
      <t>+</t>
    </r>
    <r>
      <rPr>
        <i/>
        <sz val="12"/>
        <color indexed="8"/>
        <rFont val="Arial"/>
        <family val="2"/>
      </rPr>
      <t>i</t>
    </r>
    <r>
      <rPr>
        <vertAlign val="subscript"/>
        <sz val="12"/>
        <color indexed="8"/>
        <rFont val="Arial"/>
        <family val="2"/>
      </rPr>
      <t>N_XCB</t>
    </r>
    <r>
      <rPr>
        <sz val="12"/>
        <color indexed="8"/>
        <rFont val="Arial"/>
        <family val="2"/>
      </rPr>
      <t>/</t>
    </r>
    <r>
      <rPr>
        <i/>
        <sz val="12"/>
        <color indexed="8"/>
        <rFont val="Arial"/>
        <family val="2"/>
      </rPr>
      <t>Y</t>
    </r>
    <r>
      <rPr>
        <vertAlign val="subscript"/>
        <sz val="12"/>
        <color indexed="8"/>
        <rFont val="Arial"/>
        <family val="2"/>
      </rPr>
      <t>OHO,Ax</t>
    </r>
  </si>
  <si>
    <r>
      <t>-</t>
    </r>
    <r>
      <rPr>
        <i/>
        <sz val="12"/>
        <color indexed="8"/>
        <rFont val="Arial"/>
        <family val="2"/>
      </rPr>
      <t>i</t>
    </r>
    <r>
      <rPr>
        <vertAlign val="subscript"/>
        <sz val="12"/>
        <color indexed="8"/>
        <rFont val="Arial"/>
        <family val="2"/>
      </rPr>
      <t>P_XBio</t>
    </r>
    <r>
      <rPr>
        <sz val="12"/>
        <color indexed="10"/>
        <rFont val="Arial"/>
        <family val="2"/>
      </rPr>
      <t>+</t>
    </r>
    <r>
      <rPr>
        <i/>
        <sz val="12"/>
        <color indexed="10"/>
        <rFont val="Arial"/>
        <family val="2"/>
      </rPr>
      <t>i</t>
    </r>
    <r>
      <rPr>
        <vertAlign val="subscript"/>
        <sz val="12"/>
        <color indexed="10"/>
        <rFont val="Arial"/>
        <family val="2"/>
      </rPr>
      <t>P_XCB</t>
    </r>
    <r>
      <rPr>
        <sz val="12"/>
        <color indexed="10"/>
        <rFont val="Arial"/>
        <family val="2"/>
      </rPr>
      <t>*</t>
    </r>
    <r>
      <rPr>
        <i/>
        <sz val="12"/>
        <color indexed="10"/>
        <rFont val="Arial"/>
        <family val="2"/>
      </rPr>
      <t>Y</t>
    </r>
    <r>
      <rPr>
        <vertAlign val="subscript"/>
        <sz val="12"/>
        <color indexed="10"/>
        <rFont val="Arial"/>
        <family val="2"/>
      </rPr>
      <t>OHO,Ax</t>
    </r>
  </si>
  <si>
    <r>
      <t>n</t>
    </r>
    <r>
      <rPr>
        <vertAlign val="subscript"/>
        <sz val="12"/>
        <color indexed="8"/>
        <rFont val="Arial"/>
        <family val="2"/>
      </rPr>
      <t>μOHO,Ax</t>
    </r>
    <r>
      <rPr>
        <sz val="12"/>
        <color indexed="8"/>
        <rFont val="Arial"/>
        <family val="2"/>
      </rPr>
      <t>*</t>
    </r>
    <r>
      <rPr>
        <i/>
        <sz val="12"/>
        <color indexed="8"/>
        <rFont val="Arial"/>
        <family val="2"/>
      </rPr>
      <t>μ</t>
    </r>
    <r>
      <rPr>
        <vertAlign val="subscript"/>
        <sz val="12"/>
        <color indexed="8"/>
        <rFont val="Arial"/>
        <family val="2"/>
      </rPr>
      <t>Ads_OHO,Max</t>
    </r>
    <r>
      <rPr>
        <sz val="12"/>
        <color indexed="8"/>
        <rFont val="Arial"/>
        <family val="2"/>
      </rPr>
      <t>*[(</t>
    </r>
    <r>
      <rPr>
        <i/>
        <sz val="12"/>
        <color indexed="8"/>
        <rFont val="Arial"/>
        <family val="2"/>
      </rPr>
      <t>X</t>
    </r>
    <r>
      <rPr>
        <vertAlign val="subscript"/>
        <sz val="12"/>
        <color indexed="8"/>
        <rFont val="Arial"/>
        <family val="2"/>
      </rPr>
      <t>Ads</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K</t>
    </r>
    <r>
      <rPr>
        <vertAlign val="subscript"/>
        <sz val="12"/>
        <color indexed="8"/>
        <rFont val="Arial"/>
        <family val="2"/>
      </rPr>
      <t>Ads_OHO</t>
    </r>
    <r>
      <rPr>
        <sz val="12"/>
        <color indexed="8"/>
        <rFont val="Arial"/>
        <family val="2"/>
      </rPr>
      <t>+(</t>
    </r>
    <r>
      <rPr>
        <i/>
        <sz val="12"/>
        <color indexed="8"/>
        <rFont val="Arial"/>
        <family val="2"/>
      </rPr>
      <t>X</t>
    </r>
    <r>
      <rPr>
        <vertAlign val="subscript"/>
        <sz val="12"/>
        <color indexed="8"/>
        <rFont val="Arial"/>
        <family val="2"/>
      </rPr>
      <t>Ads</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</si>
  <si>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i</t>
    </r>
    <r>
      <rPr>
        <vertAlign val="subscript"/>
        <sz val="12"/>
        <color indexed="8"/>
        <rFont val="Arial"/>
        <family val="2"/>
      </rPr>
      <t>N_XCB</t>
    </r>
    <r>
      <rPr>
        <sz val="12"/>
        <color indexed="8"/>
        <rFont val="Arial"/>
        <family val="2"/>
      </rPr>
      <t>/</t>
    </r>
    <r>
      <rPr>
        <i/>
        <sz val="12"/>
        <color indexed="8"/>
        <rFont val="Arial"/>
        <family val="2"/>
      </rPr>
      <t>Y</t>
    </r>
    <r>
      <rPr>
        <vertAlign val="subscript"/>
        <sz val="12"/>
        <color indexed="8"/>
        <rFont val="Arial"/>
        <family val="2"/>
      </rPr>
      <t>OHO,Ax</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i</t>
    </r>
    <r>
      <rPr>
        <vertAlign val="subscript"/>
        <sz val="12"/>
        <color indexed="10"/>
        <rFont val="Arial"/>
        <family val="2"/>
      </rPr>
      <t>N_XBio</t>
    </r>
    <r>
      <rPr>
        <sz val="12"/>
        <color indexed="10"/>
        <rFont val="Arial"/>
        <family val="2"/>
      </rPr>
      <t>*</t>
    </r>
    <r>
      <rPr>
        <i/>
        <sz val="12"/>
        <color indexed="10"/>
        <rFont val="Arial"/>
        <family val="2"/>
      </rPr>
      <t>i</t>
    </r>
    <r>
      <rPr>
        <vertAlign val="subscript"/>
        <sz val="12"/>
        <color indexed="10"/>
        <rFont val="Arial"/>
        <family val="2"/>
      </rPr>
      <t>N_XCB</t>
    </r>
  </si>
  <si>
    <r>
      <t>-</t>
    </r>
    <r>
      <rPr>
        <i/>
        <sz val="12"/>
        <color indexed="8"/>
        <rFont val="Arial"/>
        <family val="2"/>
      </rPr>
      <t>i</t>
    </r>
    <r>
      <rPr>
        <vertAlign val="subscript"/>
        <sz val="12"/>
        <color indexed="8"/>
        <rFont val="Arial"/>
        <family val="2"/>
      </rPr>
      <t>P_XBio</t>
    </r>
    <r>
      <rPr>
        <sz val="12"/>
        <color indexed="10"/>
        <rFont val="Arial"/>
        <family val="2"/>
      </rPr>
      <t>+</t>
    </r>
    <r>
      <rPr>
        <i/>
        <sz val="12"/>
        <color indexed="10"/>
        <rFont val="Arial"/>
        <family val="2"/>
      </rPr>
      <t>i</t>
    </r>
    <r>
      <rPr>
        <vertAlign val="subscript"/>
        <sz val="12"/>
        <color indexed="10"/>
        <rFont val="Arial"/>
        <family val="2"/>
      </rPr>
      <t>P_XCB</t>
    </r>
    <r>
      <rPr>
        <sz val="12"/>
        <color indexed="10"/>
        <rFont val="Arial"/>
        <family val="2"/>
      </rPr>
      <t>/</t>
    </r>
    <r>
      <rPr>
        <i/>
        <sz val="12"/>
        <color indexed="10"/>
        <rFont val="Arial"/>
        <family val="2"/>
      </rPr>
      <t>Y</t>
    </r>
    <r>
      <rPr>
        <vertAlign val="subscript"/>
        <sz val="12"/>
        <color indexed="10"/>
        <rFont val="Arial"/>
        <family val="2"/>
      </rPr>
      <t>OHO,Ax</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i</t>
    </r>
    <r>
      <rPr>
        <vertAlign val="subscript"/>
        <sz val="12"/>
        <color indexed="10"/>
        <rFont val="Arial"/>
        <family val="2"/>
      </rPr>
      <t>N_XBio</t>
    </r>
    <r>
      <rPr>
        <sz val="12"/>
        <color indexed="10"/>
        <rFont val="Arial"/>
        <family val="2"/>
      </rPr>
      <t>*</t>
    </r>
    <r>
      <rPr>
        <i/>
        <sz val="12"/>
        <color indexed="10"/>
        <rFont val="Arial"/>
        <family val="2"/>
      </rPr>
      <t>i</t>
    </r>
    <r>
      <rPr>
        <vertAlign val="subscript"/>
        <sz val="12"/>
        <color indexed="10"/>
        <rFont val="Arial"/>
        <family val="2"/>
      </rPr>
      <t>P_XCB</t>
    </r>
  </si>
  <si>
    <r>
      <t>n</t>
    </r>
    <r>
      <rPr>
        <vertAlign val="subscript"/>
        <sz val="12"/>
        <color indexed="8"/>
        <rFont val="Arial"/>
        <family val="2"/>
      </rPr>
      <t>μOHO,Ax</t>
    </r>
    <r>
      <rPr>
        <sz val="12"/>
        <color indexed="8"/>
        <rFont val="Arial"/>
        <family val="2"/>
      </rPr>
      <t>*</t>
    </r>
    <r>
      <rPr>
        <i/>
        <sz val="12"/>
        <color indexed="8"/>
        <rFont val="Arial"/>
        <family val="2"/>
      </rPr>
      <t>μ</t>
    </r>
    <r>
      <rPr>
        <vertAlign val="subscript"/>
        <sz val="12"/>
        <color indexed="8"/>
        <rFont val="Arial"/>
        <family val="2"/>
      </rPr>
      <t>Ads_OHO,Max</t>
    </r>
    <r>
      <rPr>
        <sz val="12"/>
        <color indexed="8"/>
        <rFont val="Arial"/>
        <family val="2"/>
      </rPr>
      <t>*[(</t>
    </r>
    <r>
      <rPr>
        <i/>
        <sz val="12"/>
        <color indexed="8"/>
        <rFont val="Arial"/>
        <family val="2"/>
      </rPr>
      <t>X</t>
    </r>
    <r>
      <rPr>
        <vertAlign val="subscript"/>
        <sz val="12"/>
        <color indexed="8"/>
        <rFont val="Arial"/>
        <family val="2"/>
      </rPr>
      <t>Ads</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K</t>
    </r>
    <r>
      <rPr>
        <vertAlign val="subscript"/>
        <sz val="12"/>
        <color indexed="8"/>
        <rFont val="Arial"/>
        <family val="2"/>
      </rPr>
      <t>Ads_OHO</t>
    </r>
    <r>
      <rPr>
        <sz val="12"/>
        <color indexed="8"/>
        <rFont val="Arial"/>
        <family val="2"/>
      </rPr>
      <t>+(</t>
    </r>
    <r>
      <rPr>
        <i/>
        <sz val="12"/>
        <color indexed="8"/>
        <rFont val="Arial"/>
        <family val="2"/>
      </rPr>
      <t>X</t>
    </r>
    <r>
      <rPr>
        <vertAlign val="subscript"/>
        <sz val="12"/>
        <color indexed="8"/>
        <rFont val="Arial"/>
        <family val="2"/>
      </rPr>
      <t>Ads</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</si>
  <si>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Adsorption of XC</t>
    </r>
    <r>
      <rPr>
        <b/>
        <vertAlign val="subscript"/>
        <sz val="10"/>
        <color indexed="8"/>
        <rFont val="Arial"/>
        <family val="2"/>
      </rPr>
      <t>B</t>
    </r>
  </si>
  <si>
    <r>
      <t>q</t>
    </r>
    <r>
      <rPr>
        <vertAlign val="subscript"/>
        <sz val="12"/>
        <color indexed="8"/>
        <rFont val="Arial"/>
        <family val="2"/>
      </rPr>
      <t>XCB_Ads</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f</t>
    </r>
    <r>
      <rPr>
        <vertAlign val="subscript"/>
        <sz val="12"/>
        <color indexed="8"/>
        <rFont val="Arial"/>
        <family val="2"/>
      </rPr>
      <t>Ads_OHO,Max</t>
    </r>
    <r>
      <rPr>
        <sz val="12"/>
        <color indexed="8"/>
        <rFont val="Arial"/>
        <family val="2"/>
      </rPr>
      <t>-</t>
    </r>
    <r>
      <rPr>
        <i/>
        <sz val="12"/>
        <color indexed="8"/>
        <rFont val="Arial"/>
        <family val="2"/>
      </rPr>
      <t>X</t>
    </r>
    <r>
      <rPr>
        <vertAlign val="subscript"/>
        <sz val="12"/>
        <color indexed="8"/>
        <rFont val="Arial"/>
        <family val="2"/>
      </rPr>
      <t>Ads</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X</t>
    </r>
    <r>
      <rPr>
        <vertAlign val="subscript"/>
        <sz val="12"/>
        <color indexed="8"/>
        <rFont val="Arial"/>
        <family val="2"/>
      </rPr>
      <t>OHO</t>
    </r>
  </si>
  <si>
    <r>
      <t>i</t>
    </r>
    <r>
      <rPr>
        <vertAlign val="subscript"/>
        <sz val="12"/>
        <color indexed="10"/>
        <rFont val="Arial"/>
        <family val="2"/>
      </rPr>
      <t>N_XBio</t>
    </r>
    <r>
      <rPr>
        <sz val="12"/>
        <color indexed="10"/>
        <rFont val="Arial"/>
        <family val="2"/>
      </rPr>
      <t>-(1-</t>
    </r>
    <r>
      <rPr>
        <i/>
        <sz val="12"/>
        <color indexed="10"/>
        <rFont val="Arial"/>
        <family val="2"/>
      </rPr>
      <t>f</t>
    </r>
    <r>
      <rPr>
        <vertAlign val="subscript"/>
        <sz val="12"/>
        <color indexed="10"/>
        <rFont val="Arial"/>
        <family val="2"/>
      </rPr>
      <t>XU_OHO,lys</t>
    </r>
    <r>
      <rPr>
        <sz val="12"/>
        <color indexed="10"/>
        <rFont val="Arial"/>
        <family val="2"/>
      </rPr>
      <t>)*</t>
    </r>
    <r>
      <rPr>
        <i/>
        <sz val="12"/>
        <color indexed="10"/>
        <rFont val="Arial"/>
        <family val="2"/>
      </rPr>
      <t>i</t>
    </r>
    <r>
      <rPr>
        <vertAlign val="subscript"/>
        <sz val="12"/>
        <color indexed="10"/>
        <rFont val="Arial"/>
        <family val="2"/>
      </rPr>
      <t>N_XBio</t>
    </r>
    <r>
      <rPr>
        <sz val="12"/>
        <color indexed="10"/>
        <rFont val="Arial"/>
        <family val="2"/>
      </rPr>
      <t>-</t>
    </r>
    <r>
      <rPr>
        <i/>
        <sz val="12"/>
        <color indexed="10"/>
        <rFont val="Arial"/>
        <family val="2"/>
      </rPr>
      <t>f</t>
    </r>
    <r>
      <rPr>
        <vertAlign val="subscript"/>
        <sz val="12"/>
        <color indexed="10"/>
        <rFont val="Arial"/>
        <family val="2"/>
      </rPr>
      <t>XU_OHO,lys</t>
    </r>
    <r>
      <rPr>
        <sz val="12"/>
        <color indexed="10"/>
        <rFont val="Arial"/>
        <family val="2"/>
      </rPr>
      <t>*</t>
    </r>
    <r>
      <rPr>
        <i/>
        <sz val="12"/>
        <color indexed="10"/>
        <rFont val="Arial"/>
        <family val="2"/>
      </rPr>
      <t>i</t>
    </r>
    <r>
      <rPr>
        <vertAlign val="subscript"/>
        <sz val="12"/>
        <color indexed="10"/>
        <rFont val="Arial"/>
        <family val="2"/>
      </rPr>
      <t>N_XUE</t>
    </r>
  </si>
  <si>
    <r>
      <t>i</t>
    </r>
    <r>
      <rPr>
        <vertAlign val="subscript"/>
        <sz val="12"/>
        <color indexed="8"/>
        <rFont val="Arial"/>
        <family val="2"/>
      </rPr>
      <t>P_XBio</t>
    </r>
    <r>
      <rPr>
        <sz val="12"/>
        <color indexed="8"/>
        <rFont val="Arial"/>
        <family val="2"/>
      </rPr>
      <t>-</t>
    </r>
    <r>
      <rPr>
        <i/>
        <sz val="12"/>
        <color indexed="8"/>
        <rFont val="Arial"/>
        <family val="2"/>
      </rPr>
      <t>f</t>
    </r>
    <r>
      <rPr>
        <vertAlign val="subscript"/>
        <sz val="12"/>
        <color indexed="8"/>
        <rFont val="Arial"/>
        <family val="2"/>
      </rPr>
      <t>XU_OHO,lys</t>
    </r>
    <r>
      <rPr>
        <sz val="12"/>
        <color indexed="8"/>
        <rFont val="Arial"/>
        <family val="2"/>
      </rPr>
      <t>*</t>
    </r>
    <r>
      <rPr>
        <i/>
        <sz val="12"/>
        <color indexed="57"/>
        <rFont val="Arial"/>
        <family val="2"/>
      </rPr>
      <t>i</t>
    </r>
    <r>
      <rPr>
        <vertAlign val="subscript"/>
        <sz val="12"/>
        <color indexed="57"/>
        <rFont val="Arial"/>
        <family val="2"/>
      </rPr>
      <t>P_XUE</t>
    </r>
    <r>
      <rPr>
        <sz val="12"/>
        <color indexed="10"/>
        <rFont val="Arial"/>
        <family val="2"/>
      </rPr>
      <t>-(1-</t>
    </r>
    <r>
      <rPr>
        <i/>
        <sz val="12"/>
        <color indexed="10"/>
        <rFont val="Arial"/>
        <family val="2"/>
      </rPr>
      <t>f</t>
    </r>
    <r>
      <rPr>
        <vertAlign val="subscript"/>
        <sz val="12"/>
        <color indexed="10"/>
        <rFont val="Arial"/>
        <family val="2"/>
      </rPr>
      <t>XU_OHO,lys</t>
    </r>
    <r>
      <rPr>
        <sz val="12"/>
        <color indexed="10"/>
        <rFont val="Arial"/>
        <family val="2"/>
      </rPr>
      <t>)*</t>
    </r>
    <r>
      <rPr>
        <i/>
        <sz val="12"/>
        <color indexed="10"/>
        <rFont val="Arial"/>
        <family val="2"/>
      </rPr>
      <t>i</t>
    </r>
    <r>
      <rPr>
        <vertAlign val="subscript"/>
        <sz val="12"/>
        <color indexed="10"/>
        <rFont val="Arial"/>
        <family val="2"/>
      </rPr>
      <t>P_XCB</t>
    </r>
  </si>
  <si>
    <r>
      <t>1-</t>
    </r>
    <r>
      <rPr>
        <i/>
        <sz val="12"/>
        <color indexed="57"/>
        <rFont val="Arial"/>
        <family val="2"/>
      </rPr>
      <t>f</t>
    </r>
    <r>
      <rPr>
        <vertAlign val="subscript"/>
        <sz val="12"/>
        <color indexed="57"/>
        <rFont val="Arial"/>
        <family val="2"/>
      </rPr>
      <t>XU_OHO,lys</t>
    </r>
  </si>
  <si>
    <r>
      <t>Conversion of S</t>
    </r>
    <r>
      <rPr>
        <b/>
        <vertAlign val="subscript"/>
        <sz val="10"/>
        <color indexed="8"/>
        <rFont val="Arial"/>
        <family val="2"/>
      </rPr>
      <t>F</t>
    </r>
    <r>
      <rPr>
        <b/>
        <sz val="10"/>
        <color indexed="8"/>
        <rFont val="Arial"/>
        <family val="2"/>
      </rPr>
      <t xml:space="preserve"> to Sac</t>
    </r>
  </si>
  <si>
    <r>
      <t>q</t>
    </r>
    <r>
      <rPr>
        <vertAlign val="subscript"/>
        <sz val="12"/>
        <color indexed="8"/>
        <rFont val="Arial"/>
        <family val="2"/>
      </rPr>
      <t>SF_Ac,Max</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OHO</t>
    </r>
  </si>
  <si>
    <r>
      <t xml:space="preserve"> growth of X</t>
    </r>
    <r>
      <rPr>
        <b/>
        <vertAlign val="subscript"/>
        <sz val="10"/>
        <color indexed="8"/>
        <rFont val="Arial"/>
        <family val="2"/>
      </rPr>
      <t>ANO</t>
    </r>
  </si>
  <si>
    <r>
      <t>μ</t>
    </r>
    <r>
      <rPr>
        <vertAlign val="subscript"/>
        <sz val="12"/>
        <color indexed="8"/>
        <rFont val="Arial"/>
        <family val="2"/>
      </rPr>
      <t>ANO,Max</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O2,ANO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NHx,ANO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ANO</t>
    </r>
  </si>
  <si>
    <r>
      <t xml:space="preserve"> decay of X</t>
    </r>
    <r>
      <rPr>
        <b/>
        <vertAlign val="subscript"/>
        <sz val="10"/>
        <color indexed="8"/>
        <rFont val="Arial"/>
        <family val="2"/>
      </rPr>
      <t>ANO</t>
    </r>
  </si>
  <si>
    <r>
      <t>i</t>
    </r>
    <r>
      <rPr>
        <vertAlign val="subscript"/>
        <sz val="12"/>
        <color indexed="10"/>
        <rFont val="Arial"/>
        <family val="2"/>
      </rPr>
      <t>N_XBio</t>
    </r>
    <r>
      <rPr>
        <sz val="12"/>
        <color indexed="10"/>
        <rFont val="Arial"/>
        <family val="2"/>
      </rPr>
      <t>-(1-</t>
    </r>
    <r>
      <rPr>
        <i/>
        <sz val="12"/>
        <color indexed="10"/>
        <rFont val="Arial"/>
        <family val="2"/>
      </rPr>
      <t>f</t>
    </r>
    <r>
      <rPr>
        <vertAlign val="subscript"/>
        <sz val="12"/>
        <color indexed="10"/>
        <rFont val="Arial"/>
        <family val="2"/>
      </rPr>
      <t>XU_ANO,lys</t>
    </r>
    <r>
      <rPr>
        <sz val="12"/>
        <color indexed="10"/>
        <rFont val="Arial"/>
        <family val="2"/>
      </rPr>
      <t>)*</t>
    </r>
    <r>
      <rPr>
        <i/>
        <sz val="12"/>
        <color indexed="10"/>
        <rFont val="Arial"/>
        <family val="2"/>
      </rPr>
      <t>i</t>
    </r>
    <r>
      <rPr>
        <vertAlign val="subscript"/>
        <sz val="12"/>
        <color indexed="10"/>
        <rFont val="Arial"/>
        <family val="2"/>
      </rPr>
      <t>N_XCB</t>
    </r>
    <r>
      <rPr>
        <sz val="12"/>
        <color indexed="10"/>
        <rFont val="Arial"/>
        <family val="2"/>
      </rPr>
      <t>-</t>
    </r>
    <r>
      <rPr>
        <i/>
        <sz val="12"/>
        <color indexed="10"/>
        <rFont val="Arial"/>
        <family val="2"/>
      </rPr>
      <t>f</t>
    </r>
    <r>
      <rPr>
        <vertAlign val="subscript"/>
        <sz val="12"/>
        <color indexed="10"/>
        <rFont val="Arial"/>
        <family val="2"/>
      </rPr>
      <t>XU_ANO,lys</t>
    </r>
    <r>
      <rPr>
        <sz val="12"/>
        <color indexed="10"/>
        <rFont val="Arial"/>
        <family val="2"/>
      </rPr>
      <t>*</t>
    </r>
    <r>
      <rPr>
        <i/>
        <sz val="12"/>
        <color indexed="10"/>
        <rFont val="Arial"/>
        <family val="2"/>
      </rPr>
      <t>i</t>
    </r>
    <r>
      <rPr>
        <vertAlign val="subscript"/>
        <sz val="12"/>
        <color indexed="10"/>
        <rFont val="Arial"/>
        <family val="2"/>
      </rPr>
      <t>N_XUE</t>
    </r>
  </si>
  <si>
    <r>
      <t>i</t>
    </r>
    <r>
      <rPr>
        <vertAlign val="subscript"/>
        <sz val="12"/>
        <color indexed="8"/>
        <rFont val="Arial"/>
        <family val="2"/>
      </rPr>
      <t>P_XBio</t>
    </r>
    <r>
      <rPr>
        <sz val="12"/>
        <color indexed="8"/>
        <rFont val="Arial"/>
        <family val="2"/>
      </rPr>
      <t>-</t>
    </r>
    <r>
      <rPr>
        <i/>
        <sz val="12"/>
        <color indexed="8"/>
        <rFont val="Arial"/>
        <family val="2"/>
      </rPr>
      <t>f</t>
    </r>
    <r>
      <rPr>
        <vertAlign val="subscript"/>
        <sz val="12"/>
        <color indexed="8"/>
        <rFont val="Arial"/>
        <family val="2"/>
      </rPr>
      <t>XU_ANO,lys</t>
    </r>
    <r>
      <rPr>
        <sz val="12"/>
        <color indexed="8"/>
        <rFont val="Arial"/>
        <family val="2"/>
      </rPr>
      <t>*</t>
    </r>
    <r>
      <rPr>
        <i/>
        <sz val="12"/>
        <color indexed="8"/>
        <rFont val="Arial"/>
        <family val="2"/>
      </rPr>
      <t>i</t>
    </r>
    <r>
      <rPr>
        <vertAlign val="subscript"/>
        <sz val="12"/>
        <color indexed="8"/>
        <rFont val="Arial"/>
        <family val="2"/>
      </rPr>
      <t>P_XUE</t>
    </r>
    <r>
      <rPr>
        <sz val="12"/>
        <color indexed="8"/>
        <rFont val="Arial"/>
        <family val="2"/>
      </rPr>
      <t>-(1-</t>
    </r>
    <r>
      <rPr>
        <i/>
        <sz val="12"/>
        <color indexed="8"/>
        <rFont val="Arial"/>
        <family val="2"/>
      </rPr>
      <t>f</t>
    </r>
    <r>
      <rPr>
        <vertAlign val="subscript"/>
        <sz val="12"/>
        <color indexed="8"/>
        <rFont val="Arial"/>
        <family val="2"/>
      </rPr>
      <t>XU_ANO,lys</t>
    </r>
    <r>
      <rPr>
        <sz val="12"/>
        <color indexed="8"/>
        <rFont val="Arial"/>
        <family val="2"/>
      </rPr>
      <t>)*</t>
    </r>
    <r>
      <rPr>
        <i/>
        <sz val="12"/>
        <color indexed="8"/>
        <rFont val="Arial"/>
        <family val="2"/>
      </rPr>
      <t>i</t>
    </r>
    <r>
      <rPr>
        <vertAlign val="subscript"/>
        <sz val="12"/>
        <color indexed="8"/>
        <rFont val="Arial"/>
        <family val="2"/>
      </rPr>
      <t>P_XCB</t>
    </r>
  </si>
  <si>
    <r>
      <t>1-</t>
    </r>
    <r>
      <rPr>
        <i/>
        <sz val="12"/>
        <color indexed="57"/>
        <rFont val="Arial"/>
        <family val="2"/>
      </rPr>
      <t>f</t>
    </r>
    <r>
      <rPr>
        <vertAlign val="subscript"/>
        <sz val="12"/>
        <color indexed="57"/>
        <rFont val="Arial"/>
        <family val="2"/>
      </rPr>
      <t>XU_ANO,lys</t>
    </r>
  </si>
  <si>
    <r>
      <t>Aerobic growth of X</t>
    </r>
    <r>
      <rPr>
        <b/>
        <vertAlign val="subscript"/>
        <sz val="10"/>
        <color indexed="8"/>
        <rFont val="Arial"/>
        <family val="2"/>
      </rPr>
      <t>PAO</t>
    </r>
    <r>
      <rPr>
        <b/>
        <sz val="10"/>
        <color indexed="8"/>
        <rFont val="Arial"/>
        <family val="2"/>
      </rPr>
      <t xml:space="preserve"> on X</t>
    </r>
    <r>
      <rPr>
        <b/>
        <vertAlign val="subscript"/>
        <sz val="10"/>
        <color indexed="8"/>
        <rFont val="Arial"/>
        <family val="2"/>
      </rPr>
      <t>PAO,PHA</t>
    </r>
    <r>
      <rPr>
        <b/>
        <sz val="10"/>
        <color indexed="8"/>
        <rFont val="Arial"/>
        <family val="2"/>
      </rPr>
      <t xml:space="preserve"> with S</t>
    </r>
    <r>
      <rPr>
        <b/>
        <vertAlign val="subscript"/>
        <sz val="10"/>
        <color indexed="8"/>
        <rFont val="Arial"/>
        <family val="2"/>
      </rPr>
      <t>NHx</t>
    </r>
  </si>
  <si>
    <r>
      <t>-(1-</t>
    </r>
    <r>
      <rPr>
        <i/>
        <sz val="12"/>
        <color indexed="8"/>
        <rFont val="Arial"/>
        <family val="2"/>
      </rPr>
      <t>Y</t>
    </r>
    <r>
      <rPr>
        <vertAlign val="subscript"/>
        <sz val="12"/>
        <color indexed="8"/>
        <rFont val="Arial"/>
        <family val="2"/>
      </rPr>
      <t>PAO,Ox</t>
    </r>
    <r>
      <rPr>
        <sz val="12"/>
        <color indexed="8"/>
        <rFont val="Arial"/>
        <family val="2"/>
      </rPr>
      <t>)/</t>
    </r>
    <r>
      <rPr>
        <i/>
        <sz val="12"/>
        <color indexed="8"/>
        <rFont val="Arial"/>
        <family val="2"/>
      </rPr>
      <t>Y</t>
    </r>
    <r>
      <rPr>
        <vertAlign val="subscript"/>
        <sz val="12"/>
        <color indexed="8"/>
        <rFont val="Arial"/>
        <family val="2"/>
      </rPr>
      <t>PAO,Ox</t>
    </r>
  </si>
  <si>
    <r>
      <t>-</t>
    </r>
    <r>
      <rPr>
        <i/>
        <sz val="12"/>
        <color indexed="10"/>
        <rFont val="Arial"/>
        <family val="2"/>
      </rPr>
      <t>Y</t>
    </r>
    <r>
      <rPr>
        <vertAlign val="subscript"/>
        <sz val="12"/>
        <color indexed="10"/>
        <rFont val="Arial"/>
        <family val="2"/>
      </rPr>
      <t>PHA_PP,Ox</t>
    </r>
    <r>
      <rPr>
        <b/>
        <sz val="12"/>
        <color indexed="10"/>
        <rFont val="Arial"/>
        <family val="2"/>
      </rPr>
      <t>/</t>
    </r>
    <r>
      <rPr>
        <i/>
        <sz val="12"/>
        <color indexed="10"/>
        <rFont val="Arial"/>
        <family val="2"/>
      </rPr>
      <t>Y</t>
    </r>
    <r>
      <rPr>
        <vertAlign val="subscript"/>
        <sz val="12"/>
        <color indexed="10"/>
        <rFont val="Arial"/>
        <family val="2"/>
      </rPr>
      <t>PAO,Ox</t>
    </r>
    <r>
      <rPr>
        <b/>
        <sz val="12"/>
        <color indexed="10"/>
        <rFont val="Arial"/>
        <family val="2"/>
      </rPr>
      <t>-</t>
    </r>
    <r>
      <rPr>
        <i/>
        <sz val="12"/>
        <color indexed="10"/>
        <rFont val="Arial"/>
        <family val="2"/>
      </rPr>
      <t>i</t>
    </r>
    <r>
      <rPr>
        <vertAlign val="subscript"/>
        <sz val="12"/>
        <color indexed="10"/>
        <rFont val="Arial"/>
        <family val="2"/>
      </rPr>
      <t>P_XBio</t>
    </r>
  </si>
  <si>
    <r>
      <t>Y</t>
    </r>
    <r>
      <rPr>
        <vertAlign val="subscript"/>
        <sz val="12"/>
        <color indexed="8"/>
        <rFont val="Arial"/>
        <family val="2"/>
      </rPr>
      <t>PHA_PP,Ox</t>
    </r>
    <r>
      <rPr>
        <sz val="12"/>
        <color indexed="8"/>
        <rFont val="Arial"/>
        <family val="2"/>
      </rPr>
      <t>/</t>
    </r>
    <r>
      <rPr>
        <i/>
        <sz val="12"/>
        <color indexed="8"/>
        <rFont val="Arial"/>
        <family val="2"/>
      </rPr>
      <t>Y</t>
    </r>
    <r>
      <rPr>
        <vertAlign val="subscript"/>
        <sz val="12"/>
        <color indexed="8"/>
        <rFont val="Arial"/>
        <family val="2"/>
      </rPr>
      <t>PAO,Ox</t>
    </r>
  </si>
  <si>
    <r>
      <t>-1/</t>
    </r>
    <r>
      <rPr>
        <i/>
        <sz val="12"/>
        <color indexed="8"/>
        <rFont val="Arial"/>
        <family val="2"/>
      </rPr>
      <t>Y</t>
    </r>
    <r>
      <rPr>
        <vertAlign val="subscript"/>
        <sz val="12"/>
        <color indexed="8"/>
        <rFont val="Arial"/>
        <family val="2"/>
      </rPr>
      <t>PAO,Ox</t>
    </r>
  </si>
  <si>
    <r>
      <t>μ</t>
    </r>
    <r>
      <rPr>
        <vertAlign val="subscript"/>
        <sz val="12"/>
        <color indexed="8"/>
        <rFont val="Arial"/>
        <family val="2"/>
      </rPr>
      <t>PAO,MAX</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fPHA_PAO</t>
    </r>
    <r>
      <rPr>
        <sz val="12"/>
        <color indexed="8"/>
        <rFont val="Arial"/>
        <family val="2"/>
      </rPr>
      <t>+(</t>
    </r>
    <r>
      <rPr>
        <i/>
        <sz val="12"/>
        <color indexed="8"/>
        <rFont val="Arial"/>
        <family val="2"/>
      </rPr>
      <t>X</t>
    </r>
    <r>
      <rPr>
        <vertAlign val="subscript"/>
        <sz val="12"/>
        <color indexed="8"/>
        <rFont val="Arial"/>
        <family val="2"/>
      </rPr>
      <t>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NHx,PAO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PO4,PAO,upt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PAO</t>
    </r>
  </si>
  <si>
    <r>
      <t>-(1-</t>
    </r>
    <r>
      <rPr>
        <i/>
        <sz val="12"/>
        <color indexed="8"/>
        <rFont val="Arial"/>
        <family val="2"/>
      </rPr>
      <t>Y</t>
    </r>
    <r>
      <rPr>
        <vertAlign val="subscript"/>
        <sz val="12"/>
        <color indexed="8"/>
        <rFont val="Arial"/>
        <family val="2"/>
      </rPr>
      <t>PAO,Ox</t>
    </r>
    <r>
      <rPr>
        <sz val="12"/>
        <color indexed="8"/>
        <rFont val="Arial"/>
        <family val="2"/>
      </rPr>
      <t>)/</t>
    </r>
    <r>
      <rPr>
        <i/>
        <sz val="12"/>
        <color indexed="8"/>
        <rFont val="Arial"/>
        <family val="2"/>
      </rPr>
      <t>Y</t>
    </r>
    <r>
      <rPr>
        <vertAlign val="subscript"/>
        <sz val="12"/>
        <color indexed="8"/>
        <rFont val="Arial"/>
        <family val="2"/>
      </rPr>
      <t>PAO,Ox</t>
    </r>
    <r>
      <rPr>
        <sz val="12"/>
        <color indexed="8"/>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i</t>
    </r>
    <r>
      <rPr>
        <vertAlign val="subscript"/>
        <sz val="12"/>
        <color indexed="10"/>
        <rFont val="Arial"/>
        <family val="2"/>
      </rPr>
      <t>N_XBio</t>
    </r>
  </si>
  <si>
    <r>
      <t>-</t>
    </r>
    <r>
      <rPr>
        <i/>
        <sz val="12"/>
        <color indexed="8"/>
        <rFont val="Arial"/>
        <family val="2"/>
      </rPr>
      <t>Y</t>
    </r>
    <r>
      <rPr>
        <vertAlign val="subscript"/>
        <sz val="12"/>
        <color indexed="8"/>
        <rFont val="Arial"/>
        <family val="2"/>
      </rPr>
      <t>PHA_PP,Ox</t>
    </r>
    <r>
      <rPr>
        <sz val="12"/>
        <color indexed="8"/>
        <rFont val="Arial"/>
        <family val="2"/>
      </rPr>
      <t>/</t>
    </r>
    <r>
      <rPr>
        <i/>
        <sz val="12"/>
        <color indexed="8"/>
        <rFont val="Arial"/>
        <family val="2"/>
      </rPr>
      <t>Y</t>
    </r>
    <r>
      <rPr>
        <vertAlign val="subscript"/>
        <sz val="12"/>
        <color indexed="8"/>
        <rFont val="Arial"/>
        <family val="2"/>
      </rPr>
      <t>PAO,Ox</t>
    </r>
    <r>
      <rPr>
        <sz val="12"/>
        <color indexed="8"/>
        <rFont val="Arial"/>
        <family val="2"/>
      </rPr>
      <t>-</t>
    </r>
    <r>
      <rPr>
        <i/>
        <sz val="12"/>
        <color indexed="8"/>
        <rFont val="Arial"/>
        <family val="2"/>
      </rPr>
      <t>i</t>
    </r>
    <r>
      <rPr>
        <vertAlign val="subscript"/>
        <sz val="12"/>
        <color indexed="8"/>
        <rFont val="Arial"/>
        <family val="2"/>
      </rPr>
      <t>P_XBio</t>
    </r>
  </si>
  <si>
    <r>
      <t>μ</t>
    </r>
    <r>
      <rPr>
        <vertAlign val="subscript"/>
        <sz val="12"/>
        <color indexed="8"/>
        <rFont val="Arial"/>
        <family val="2"/>
      </rPr>
      <t>PAO,MAX</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fPHA_PAO</t>
    </r>
    <r>
      <rPr>
        <sz val="12"/>
        <color indexed="8"/>
        <rFont val="Arial"/>
        <family val="2"/>
      </rPr>
      <t>+(</t>
    </r>
    <r>
      <rPr>
        <i/>
        <sz val="12"/>
        <color indexed="8"/>
        <rFont val="Arial"/>
        <family val="2"/>
      </rPr>
      <t>X</t>
    </r>
    <r>
      <rPr>
        <vertAlign val="subscript"/>
        <sz val="12"/>
        <color indexed="8"/>
        <rFont val="Arial"/>
        <family val="2"/>
      </rPr>
      <t>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NHx,PAO</t>
    </r>
    <r>
      <rPr>
        <sz val="12"/>
        <color indexed="8"/>
        <rFont val="Arial"/>
        <family val="2"/>
      </rPr>
      <t>/(</t>
    </r>
    <r>
      <rPr>
        <i/>
        <sz val="12"/>
        <color indexed="8"/>
        <rFont val="Arial"/>
        <family val="2"/>
      </rPr>
      <t>K</t>
    </r>
    <r>
      <rPr>
        <vertAlign val="subscript"/>
        <sz val="12"/>
        <color indexed="8"/>
        <rFont val="Arial"/>
        <family val="2"/>
      </rPr>
      <t>NHx,PAO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PO4,PAO,upt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PAO</t>
    </r>
  </si>
  <si>
    <r>
      <t>Aerobic growth of X</t>
    </r>
    <r>
      <rPr>
        <b/>
        <vertAlign val="subscript"/>
        <sz val="10"/>
        <color indexed="8"/>
        <rFont val="Arial"/>
        <family val="2"/>
      </rPr>
      <t>PAO</t>
    </r>
    <r>
      <rPr>
        <b/>
        <sz val="10"/>
        <color indexed="8"/>
        <rFont val="Arial"/>
        <family val="2"/>
      </rPr>
      <t xml:space="preserve"> on X</t>
    </r>
    <r>
      <rPr>
        <b/>
        <vertAlign val="subscript"/>
        <sz val="10"/>
        <color indexed="8"/>
        <rFont val="Arial"/>
        <family val="2"/>
      </rPr>
      <t>PAO,PHA</t>
    </r>
    <r>
      <rPr>
        <b/>
        <sz val="10"/>
        <color indexed="8"/>
        <rFont val="Arial"/>
        <family val="2"/>
      </rPr>
      <t xml:space="preserve"> with S</t>
    </r>
    <r>
      <rPr>
        <b/>
        <vertAlign val="subscript"/>
        <sz val="10"/>
        <color indexed="8"/>
        <rFont val="Arial"/>
        <family val="2"/>
      </rPr>
      <t xml:space="preserve">NHx </t>
    </r>
    <r>
      <rPr>
        <b/>
        <sz val="10"/>
        <color indexed="8"/>
        <rFont val="Arial"/>
        <family val="2"/>
      </rPr>
      <t>/ S</t>
    </r>
    <r>
      <rPr>
        <b/>
        <vertAlign val="subscript"/>
        <sz val="10"/>
        <color indexed="8"/>
        <rFont val="Arial"/>
        <family val="2"/>
      </rPr>
      <t>PO4</t>
    </r>
    <r>
      <rPr>
        <b/>
        <sz val="10"/>
        <color indexed="8"/>
        <rFont val="Arial"/>
        <family val="2"/>
      </rPr>
      <t xml:space="preserve"> limited</t>
    </r>
  </si>
  <si>
    <r>
      <t>μ</t>
    </r>
    <r>
      <rPr>
        <vertAlign val="subscript"/>
        <sz val="12"/>
        <color indexed="8"/>
        <rFont val="Arial"/>
        <family val="2"/>
      </rPr>
      <t>PAO,MAX,Plim</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fPHA_PAO,Plim</t>
    </r>
    <r>
      <rPr>
        <sz val="12"/>
        <color indexed="8"/>
        <rFont val="Arial"/>
        <family val="2"/>
      </rPr>
      <t>+(</t>
    </r>
    <r>
      <rPr>
        <i/>
        <sz val="12"/>
        <color indexed="8"/>
        <rFont val="Arial"/>
        <family val="2"/>
      </rPr>
      <t>X</t>
    </r>
    <r>
      <rPr>
        <vertAlign val="subscript"/>
        <sz val="12"/>
        <color indexed="8"/>
        <rFont val="Arial"/>
        <family val="2"/>
      </rPr>
      <t>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NHx,PAO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PO4,PAO,upt</t>
    </r>
    <r>
      <rPr>
        <sz val="12"/>
        <color indexed="8"/>
        <rFont val="Arial"/>
        <family val="2"/>
      </rPr>
      <t>/(</t>
    </r>
    <r>
      <rPr>
        <i/>
        <sz val="12"/>
        <color indexed="8"/>
        <rFont val="Arial"/>
        <family val="2"/>
      </rPr>
      <t>K</t>
    </r>
    <r>
      <rPr>
        <vertAlign val="subscript"/>
        <sz val="12"/>
        <color indexed="8"/>
        <rFont val="Arial"/>
        <family val="2"/>
      </rPr>
      <t>PO4,PAO,upt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sz val="12"/>
        <color indexed="10"/>
        <rFont val="Arial"/>
        <family val="2"/>
      </rPr>
      <t>[</t>
    </r>
    <r>
      <rPr>
        <i/>
        <sz val="12"/>
        <color indexed="10"/>
        <rFont val="Arial"/>
        <family val="2"/>
      </rPr>
      <t>X</t>
    </r>
    <r>
      <rPr>
        <vertAlign val="subscript"/>
        <sz val="12"/>
        <color indexed="10"/>
        <rFont val="Arial"/>
        <family val="2"/>
      </rPr>
      <t>PAO,PP</t>
    </r>
    <r>
      <rPr>
        <sz val="12"/>
        <color indexed="10"/>
        <rFont val="Arial"/>
        <family val="2"/>
      </rPr>
      <t>/(</t>
    </r>
    <r>
      <rPr>
        <i/>
        <sz val="12"/>
        <color indexed="10"/>
        <rFont val="Arial"/>
        <family val="2"/>
      </rPr>
      <t>K</t>
    </r>
    <r>
      <rPr>
        <vertAlign val="subscript"/>
        <sz val="12"/>
        <color indexed="10"/>
        <rFont val="Arial"/>
        <family val="2"/>
      </rPr>
      <t>PP,PAO</t>
    </r>
    <r>
      <rPr>
        <sz val="12"/>
        <color indexed="10"/>
        <rFont val="Arial"/>
        <family val="2"/>
      </rPr>
      <t>+</t>
    </r>
    <r>
      <rPr>
        <i/>
        <sz val="12"/>
        <color indexed="10"/>
        <rFont val="Arial"/>
        <family val="2"/>
      </rPr>
      <t>X</t>
    </r>
    <r>
      <rPr>
        <vertAlign val="subscript"/>
        <sz val="12"/>
        <color indexed="10"/>
        <rFont val="Arial"/>
        <family val="2"/>
      </rPr>
      <t>PAO,PP</t>
    </r>
    <r>
      <rPr>
        <sz val="12"/>
        <color indexed="10"/>
        <rFont val="Arial"/>
        <family val="2"/>
      </rPr>
      <t>)]</t>
    </r>
    <r>
      <rPr>
        <sz val="12"/>
        <color indexed="8"/>
        <rFont val="Arial"/>
        <family val="2"/>
      </rPr>
      <t>*</t>
    </r>
    <r>
      <rPr>
        <i/>
        <sz val="12"/>
        <color indexed="8"/>
        <rFont val="Arial"/>
        <family val="2"/>
      </rPr>
      <t>X</t>
    </r>
    <r>
      <rPr>
        <vertAlign val="subscript"/>
        <sz val="12"/>
        <color indexed="8"/>
        <rFont val="Arial"/>
        <family val="2"/>
      </rPr>
      <t>PAO</t>
    </r>
  </si>
  <si>
    <r>
      <t>-(1-</t>
    </r>
    <r>
      <rPr>
        <i/>
        <sz val="12"/>
        <color indexed="8"/>
        <rFont val="Arial"/>
        <family val="2"/>
      </rPr>
      <t>Y</t>
    </r>
    <r>
      <rPr>
        <vertAlign val="subscript"/>
        <sz val="12"/>
        <color indexed="8"/>
        <rFont val="Arial"/>
        <family val="2"/>
      </rPr>
      <t>PAO,Ox</t>
    </r>
    <r>
      <rPr>
        <sz val="12"/>
        <color indexed="8"/>
        <rFont val="Arial"/>
        <family val="2"/>
      </rPr>
      <t>)/</t>
    </r>
    <r>
      <rPr>
        <i/>
        <sz val="12"/>
        <color indexed="8"/>
        <rFont val="Arial"/>
        <family val="2"/>
      </rPr>
      <t>Y</t>
    </r>
    <r>
      <rPr>
        <vertAlign val="subscript"/>
        <sz val="12"/>
        <color indexed="8"/>
        <rFont val="Arial"/>
        <family val="2"/>
      </rPr>
      <t>PAO,Ox</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i</t>
    </r>
    <r>
      <rPr>
        <vertAlign val="subscript"/>
        <sz val="12"/>
        <color indexed="10"/>
        <rFont val="Arial"/>
        <family val="2"/>
      </rPr>
      <t>N_XBio</t>
    </r>
  </si>
  <si>
    <r>
      <t>μ</t>
    </r>
    <r>
      <rPr>
        <vertAlign val="subscript"/>
        <sz val="12"/>
        <color indexed="8"/>
        <rFont val="Arial"/>
        <family val="2"/>
      </rPr>
      <t>PAO,MAX,Plim</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fPHA_PAO,Plim</t>
    </r>
    <r>
      <rPr>
        <sz val="12"/>
        <color indexed="8"/>
        <rFont val="Arial"/>
        <family val="2"/>
      </rPr>
      <t>+(</t>
    </r>
    <r>
      <rPr>
        <i/>
        <sz val="12"/>
        <color indexed="8"/>
        <rFont val="Arial"/>
        <family val="2"/>
      </rPr>
      <t>X</t>
    </r>
    <r>
      <rPr>
        <vertAlign val="subscript"/>
        <sz val="12"/>
        <color indexed="8"/>
        <rFont val="Arial"/>
        <family val="2"/>
      </rPr>
      <t>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NHx,PAO</t>
    </r>
    <r>
      <rPr>
        <sz val="12"/>
        <color indexed="8"/>
        <rFont val="Arial"/>
        <family val="2"/>
      </rPr>
      <t>/(</t>
    </r>
    <r>
      <rPr>
        <i/>
        <sz val="12"/>
        <color indexed="8"/>
        <rFont val="Arial"/>
        <family val="2"/>
      </rPr>
      <t>K</t>
    </r>
    <r>
      <rPr>
        <vertAlign val="subscript"/>
        <sz val="12"/>
        <color indexed="8"/>
        <rFont val="Arial"/>
        <family val="2"/>
      </rPr>
      <t>NHx,PAO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PO4,PAO,upt</t>
    </r>
    <r>
      <rPr>
        <sz val="12"/>
        <color indexed="8"/>
        <rFont val="Arial"/>
        <family val="2"/>
      </rPr>
      <t>/(</t>
    </r>
    <r>
      <rPr>
        <i/>
        <sz val="12"/>
        <color indexed="8"/>
        <rFont val="Arial"/>
        <family val="2"/>
      </rPr>
      <t>K</t>
    </r>
    <r>
      <rPr>
        <vertAlign val="subscript"/>
        <sz val="12"/>
        <color indexed="8"/>
        <rFont val="Arial"/>
        <family val="2"/>
      </rPr>
      <t>PO4,PAO,upt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sz val="12"/>
        <color indexed="10"/>
        <rFont val="Arial"/>
        <family val="2"/>
      </rPr>
      <t>[</t>
    </r>
    <r>
      <rPr>
        <i/>
        <sz val="12"/>
        <color indexed="10"/>
        <rFont val="Arial"/>
        <family val="2"/>
      </rPr>
      <t>X</t>
    </r>
    <r>
      <rPr>
        <vertAlign val="subscript"/>
        <sz val="12"/>
        <color indexed="10"/>
        <rFont val="Arial"/>
        <family val="2"/>
      </rPr>
      <t>PAO,PP</t>
    </r>
    <r>
      <rPr>
        <sz val="12"/>
        <color indexed="10"/>
        <rFont val="Arial"/>
        <family val="2"/>
      </rPr>
      <t>/(</t>
    </r>
    <r>
      <rPr>
        <i/>
        <sz val="12"/>
        <color indexed="10"/>
        <rFont val="Arial"/>
        <family val="2"/>
      </rPr>
      <t>K</t>
    </r>
    <r>
      <rPr>
        <vertAlign val="subscript"/>
        <sz val="12"/>
        <color indexed="10"/>
        <rFont val="Arial"/>
        <family val="2"/>
      </rPr>
      <t>PP,PAO</t>
    </r>
    <r>
      <rPr>
        <sz val="12"/>
        <color indexed="10"/>
        <rFont val="Arial"/>
        <family val="2"/>
      </rPr>
      <t>+</t>
    </r>
    <r>
      <rPr>
        <i/>
        <sz val="12"/>
        <color indexed="10"/>
        <rFont val="Arial"/>
        <family val="2"/>
      </rPr>
      <t>X</t>
    </r>
    <r>
      <rPr>
        <vertAlign val="subscript"/>
        <sz val="12"/>
        <color indexed="10"/>
        <rFont val="Arial"/>
        <family val="2"/>
      </rPr>
      <t>PAO,PP</t>
    </r>
    <r>
      <rPr>
        <sz val="12"/>
        <color indexed="10"/>
        <rFont val="Arial"/>
        <family val="2"/>
      </rPr>
      <t>)]</t>
    </r>
    <r>
      <rPr>
        <sz val="12"/>
        <color indexed="8"/>
        <rFont val="Arial"/>
        <family val="2"/>
      </rPr>
      <t>*</t>
    </r>
    <r>
      <rPr>
        <i/>
        <sz val="12"/>
        <color indexed="8"/>
        <rFont val="Arial"/>
        <family val="2"/>
      </rPr>
      <t>X</t>
    </r>
    <r>
      <rPr>
        <vertAlign val="subscript"/>
        <sz val="12"/>
        <color indexed="8"/>
        <rFont val="Arial"/>
        <family val="2"/>
      </rPr>
      <t>PAO</t>
    </r>
  </si>
  <si>
    <r>
      <t>Anoxic growth of X</t>
    </r>
    <r>
      <rPr>
        <b/>
        <vertAlign val="subscript"/>
        <sz val="10"/>
        <color indexed="8"/>
        <rFont val="Arial"/>
        <family val="2"/>
      </rPr>
      <t>PAO</t>
    </r>
    <r>
      <rPr>
        <b/>
        <sz val="10"/>
        <color indexed="8"/>
        <rFont val="Arial"/>
        <family val="2"/>
      </rPr>
      <t xml:space="preserve"> on S</t>
    </r>
    <r>
      <rPr>
        <b/>
        <vertAlign val="subscript"/>
        <sz val="10"/>
        <color indexed="8"/>
        <rFont val="Arial"/>
        <family val="2"/>
      </rPr>
      <t>PAO,PHA</t>
    </r>
    <r>
      <rPr>
        <b/>
        <sz val="10"/>
        <color indexed="8"/>
        <rFont val="Arial"/>
        <family val="2"/>
      </rPr>
      <t xml:space="preserve"> with S</t>
    </r>
    <r>
      <rPr>
        <b/>
        <vertAlign val="subscript"/>
        <sz val="10"/>
        <color indexed="8"/>
        <rFont val="Arial"/>
        <family val="2"/>
      </rPr>
      <t>NHx</t>
    </r>
  </si>
  <si>
    <r>
      <t>-(1-</t>
    </r>
    <r>
      <rPr>
        <i/>
        <sz val="12"/>
        <color indexed="8"/>
        <rFont val="Arial"/>
        <family val="2"/>
      </rPr>
      <t>Y</t>
    </r>
    <r>
      <rPr>
        <vertAlign val="subscript"/>
        <sz val="12"/>
        <color indexed="8"/>
        <rFont val="Arial"/>
        <family val="2"/>
      </rPr>
      <t>PAO,Ax</t>
    </r>
    <r>
      <rPr>
        <sz val="12"/>
        <color indexed="8"/>
        <rFont val="Arial"/>
        <family val="2"/>
      </rPr>
      <t>)/(</t>
    </r>
    <r>
      <rPr>
        <i/>
        <sz val="12"/>
        <color indexed="8"/>
        <rFont val="Arial"/>
        <family val="2"/>
      </rPr>
      <t>i</t>
    </r>
    <r>
      <rPr>
        <vertAlign val="subscript"/>
        <sz val="12"/>
        <color indexed="8"/>
        <rFont val="Arial"/>
        <family val="2"/>
      </rPr>
      <t>NOx,N2</t>
    </r>
    <r>
      <rPr>
        <sz val="12"/>
        <color indexed="8"/>
        <rFont val="Arial"/>
        <family val="2"/>
      </rPr>
      <t>*</t>
    </r>
    <r>
      <rPr>
        <i/>
        <sz val="12"/>
        <color indexed="8"/>
        <rFont val="Arial"/>
        <family val="2"/>
      </rPr>
      <t>Y</t>
    </r>
    <r>
      <rPr>
        <vertAlign val="subscript"/>
        <sz val="12"/>
        <color indexed="8"/>
        <rFont val="Arial"/>
        <family val="2"/>
      </rPr>
      <t>PAO,Ax</t>
    </r>
    <r>
      <rPr>
        <sz val="12"/>
        <color indexed="8"/>
        <rFont val="Arial"/>
        <family val="2"/>
      </rPr>
      <t>)</t>
    </r>
  </si>
  <si>
    <r>
      <t>-</t>
    </r>
    <r>
      <rPr>
        <i/>
        <sz val="12"/>
        <color indexed="8"/>
        <rFont val="Arial"/>
        <family val="2"/>
      </rPr>
      <t>Y</t>
    </r>
    <r>
      <rPr>
        <vertAlign val="subscript"/>
        <sz val="12"/>
        <color indexed="8"/>
        <rFont val="Arial"/>
        <family val="2"/>
      </rPr>
      <t>PHA_PP,Ax</t>
    </r>
    <r>
      <rPr>
        <sz val="12"/>
        <color indexed="8"/>
        <rFont val="Arial"/>
        <family val="2"/>
      </rPr>
      <t>/</t>
    </r>
    <r>
      <rPr>
        <i/>
        <sz val="12"/>
        <color indexed="8"/>
        <rFont val="Arial"/>
        <family val="2"/>
      </rPr>
      <t>Y</t>
    </r>
    <r>
      <rPr>
        <vertAlign val="subscript"/>
        <sz val="12"/>
        <color indexed="8"/>
        <rFont val="Arial"/>
        <family val="2"/>
      </rPr>
      <t>PAO,Ax</t>
    </r>
    <r>
      <rPr>
        <sz val="12"/>
        <color indexed="8"/>
        <rFont val="Arial"/>
        <family val="2"/>
      </rPr>
      <t>-</t>
    </r>
    <r>
      <rPr>
        <i/>
        <sz val="12"/>
        <color indexed="8"/>
        <rFont val="Arial"/>
        <family val="2"/>
      </rPr>
      <t>i</t>
    </r>
    <r>
      <rPr>
        <vertAlign val="subscript"/>
        <sz val="12"/>
        <color indexed="8"/>
        <rFont val="Arial"/>
        <family val="2"/>
      </rPr>
      <t>P_XBio</t>
    </r>
  </si>
  <si>
    <r>
      <t>Y</t>
    </r>
    <r>
      <rPr>
        <vertAlign val="subscript"/>
        <sz val="12"/>
        <color indexed="8"/>
        <rFont val="Arial"/>
        <family val="2"/>
      </rPr>
      <t>PHA_PP,Ax</t>
    </r>
    <r>
      <rPr>
        <sz val="12"/>
        <color indexed="8"/>
        <rFont val="Arial"/>
        <family val="2"/>
      </rPr>
      <t>/</t>
    </r>
    <r>
      <rPr>
        <i/>
        <sz val="12"/>
        <color indexed="8"/>
        <rFont val="Arial"/>
        <family val="2"/>
      </rPr>
      <t>Y</t>
    </r>
    <r>
      <rPr>
        <vertAlign val="subscript"/>
        <sz val="12"/>
        <color indexed="8"/>
        <rFont val="Arial"/>
        <family val="2"/>
      </rPr>
      <t>PAO,Ax</t>
    </r>
  </si>
  <si>
    <r>
      <t>-1/</t>
    </r>
    <r>
      <rPr>
        <i/>
        <sz val="12"/>
        <color indexed="8"/>
        <rFont val="Arial"/>
        <family val="2"/>
      </rPr>
      <t>Y</t>
    </r>
    <r>
      <rPr>
        <vertAlign val="subscript"/>
        <sz val="12"/>
        <color indexed="8"/>
        <rFont val="Arial"/>
        <family val="2"/>
      </rPr>
      <t>PAO,Ax</t>
    </r>
  </si>
  <si>
    <r>
      <t>(1-</t>
    </r>
    <r>
      <rPr>
        <i/>
        <sz val="12"/>
        <color indexed="10"/>
        <rFont val="Arial"/>
        <family val="2"/>
      </rPr>
      <t>Y</t>
    </r>
    <r>
      <rPr>
        <vertAlign val="subscript"/>
        <sz val="12"/>
        <color indexed="10"/>
        <rFont val="Arial"/>
        <family val="2"/>
      </rPr>
      <t>PAO,Ax</t>
    </r>
    <r>
      <rPr>
        <sz val="12"/>
        <color indexed="10"/>
        <rFont val="Arial"/>
        <family val="2"/>
      </rPr>
      <t>)/(</t>
    </r>
    <r>
      <rPr>
        <i/>
        <sz val="12"/>
        <color indexed="10"/>
        <rFont val="Arial"/>
        <family val="2"/>
      </rPr>
      <t>i</t>
    </r>
    <r>
      <rPr>
        <vertAlign val="subscript"/>
        <sz val="12"/>
        <color indexed="10"/>
        <rFont val="Arial"/>
        <family val="2"/>
      </rPr>
      <t>NOx,N2</t>
    </r>
    <r>
      <rPr>
        <sz val="12"/>
        <color indexed="10"/>
        <rFont val="Arial"/>
        <family val="2"/>
      </rPr>
      <t>*</t>
    </r>
    <r>
      <rPr>
        <i/>
        <sz val="12"/>
        <color indexed="10"/>
        <rFont val="Arial"/>
        <family val="2"/>
      </rPr>
      <t>Y</t>
    </r>
    <r>
      <rPr>
        <vertAlign val="subscript"/>
        <sz val="12"/>
        <color indexed="10"/>
        <rFont val="Arial"/>
        <family val="2"/>
      </rPr>
      <t>PAO,Ax</t>
    </r>
    <r>
      <rPr>
        <sz val="12"/>
        <color indexed="10"/>
        <rFont val="Arial"/>
        <family val="2"/>
      </rPr>
      <t>)</t>
    </r>
  </si>
  <si>
    <r>
      <t>n</t>
    </r>
    <r>
      <rPr>
        <vertAlign val="subscript"/>
        <sz val="12"/>
        <color indexed="8"/>
        <rFont val="Arial"/>
        <family val="2"/>
      </rPr>
      <t>μPAO</t>
    </r>
    <r>
      <rPr>
        <sz val="12"/>
        <color indexed="8"/>
        <rFont val="Arial"/>
        <family val="2"/>
      </rPr>
      <t>*</t>
    </r>
    <r>
      <rPr>
        <i/>
        <sz val="12"/>
        <color indexed="8"/>
        <rFont val="Arial"/>
        <family val="2"/>
      </rPr>
      <t>μ</t>
    </r>
    <r>
      <rPr>
        <vertAlign val="subscript"/>
        <sz val="12"/>
        <color indexed="8"/>
        <rFont val="Arial"/>
        <family val="2"/>
      </rPr>
      <t>PAO,MAX</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fPHA_PAO</t>
    </r>
    <r>
      <rPr>
        <sz val="12"/>
        <color indexed="8"/>
        <rFont val="Arial"/>
        <family val="2"/>
      </rPr>
      <t>+(</t>
    </r>
    <r>
      <rPr>
        <i/>
        <sz val="12"/>
        <color indexed="8"/>
        <rFont val="Arial"/>
        <family val="2"/>
      </rPr>
      <t>X</t>
    </r>
    <r>
      <rPr>
        <vertAlign val="subscript"/>
        <sz val="12"/>
        <color indexed="8"/>
        <rFont val="Arial"/>
        <family val="2"/>
      </rPr>
      <t>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NHx,PAO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PO4,PAO,upt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PAO</t>
    </r>
  </si>
  <si>
    <r>
      <t>Anoxic growth of X</t>
    </r>
    <r>
      <rPr>
        <b/>
        <vertAlign val="subscript"/>
        <sz val="10"/>
        <color indexed="8"/>
        <rFont val="Arial"/>
        <family val="2"/>
      </rPr>
      <t>PAO</t>
    </r>
    <r>
      <rPr>
        <b/>
        <sz val="10"/>
        <color indexed="8"/>
        <rFont val="Arial"/>
        <family val="2"/>
      </rPr>
      <t xml:space="preserve"> on S</t>
    </r>
    <r>
      <rPr>
        <b/>
        <vertAlign val="subscript"/>
        <sz val="10"/>
        <color indexed="8"/>
        <rFont val="Arial"/>
        <family val="2"/>
      </rPr>
      <t>PAO,PHA</t>
    </r>
    <r>
      <rPr>
        <b/>
        <sz val="10"/>
        <color indexed="8"/>
        <rFont val="Arial"/>
        <family val="2"/>
      </rPr>
      <t xml:space="preserve"> with S</t>
    </r>
    <r>
      <rPr>
        <b/>
        <vertAlign val="subscript"/>
        <sz val="10"/>
        <color indexed="8"/>
        <rFont val="Arial"/>
        <family val="2"/>
      </rPr>
      <t>N03</t>
    </r>
  </si>
  <si>
    <r>
      <t>-(1-</t>
    </r>
    <r>
      <rPr>
        <i/>
        <sz val="12"/>
        <color indexed="8"/>
        <rFont val="Arial"/>
        <family val="2"/>
      </rPr>
      <t>Y</t>
    </r>
    <r>
      <rPr>
        <vertAlign val="subscript"/>
        <sz val="12"/>
        <color indexed="8"/>
        <rFont val="Arial"/>
        <family val="2"/>
      </rPr>
      <t>PAO,Ax</t>
    </r>
    <r>
      <rPr>
        <sz val="12"/>
        <color indexed="8"/>
        <rFont val="Arial"/>
        <family val="2"/>
      </rPr>
      <t>)/(</t>
    </r>
    <r>
      <rPr>
        <i/>
        <sz val="12"/>
        <color indexed="8"/>
        <rFont val="Arial"/>
        <family val="2"/>
      </rPr>
      <t>i</t>
    </r>
    <r>
      <rPr>
        <vertAlign val="subscript"/>
        <sz val="12"/>
        <color indexed="8"/>
        <rFont val="Arial"/>
        <family val="2"/>
      </rPr>
      <t>NOx,N2</t>
    </r>
    <r>
      <rPr>
        <sz val="12"/>
        <color indexed="8"/>
        <rFont val="Arial"/>
        <family val="2"/>
      </rPr>
      <t>*</t>
    </r>
    <r>
      <rPr>
        <i/>
        <sz val="12"/>
        <color indexed="8"/>
        <rFont val="Arial"/>
        <family val="2"/>
      </rPr>
      <t>Y</t>
    </r>
    <r>
      <rPr>
        <vertAlign val="subscript"/>
        <sz val="12"/>
        <color indexed="8"/>
        <rFont val="Arial"/>
        <family val="2"/>
      </rPr>
      <t>PAO,Ax</t>
    </r>
    <r>
      <rPr>
        <sz val="12"/>
        <color indexed="8"/>
        <rFont val="Arial"/>
        <family val="2"/>
      </rPr>
      <t>)-</t>
    </r>
    <r>
      <rPr>
        <i/>
        <sz val="12"/>
        <color indexed="8"/>
        <rFont val="Arial"/>
        <family val="2"/>
      </rPr>
      <t>i</t>
    </r>
    <r>
      <rPr>
        <vertAlign val="subscript"/>
        <sz val="12"/>
        <color indexed="8"/>
        <rFont val="Arial"/>
        <family val="2"/>
      </rPr>
      <t>N_XBio</t>
    </r>
  </si>
  <si>
    <r>
      <t>-1/</t>
    </r>
    <r>
      <rPr>
        <i/>
        <sz val="12"/>
        <color indexed="8"/>
        <rFont val="Arial"/>
        <family val="2"/>
      </rPr>
      <t>Y</t>
    </r>
    <r>
      <rPr>
        <vertAlign val="subscript"/>
        <sz val="12"/>
        <color indexed="8"/>
        <rFont val="Arial"/>
        <family val="2"/>
      </rPr>
      <t>PAO,Ax</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i</t>
    </r>
    <r>
      <rPr>
        <vertAlign val="subscript"/>
        <sz val="12"/>
        <color indexed="10"/>
        <rFont val="Arial"/>
        <family val="2"/>
      </rPr>
      <t>N_XBio</t>
    </r>
  </si>
  <si>
    <r>
      <t>n</t>
    </r>
    <r>
      <rPr>
        <vertAlign val="subscript"/>
        <sz val="12"/>
        <color indexed="8"/>
        <rFont val="Arial"/>
        <family val="2"/>
      </rPr>
      <t>μPAO</t>
    </r>
    <r>
      <rPr>
        <sz val="12"/>
        <color indexed="8"/>
        <rFont val="Arial"/>
        <family val="2"/>
      </rPr>
      <t>*</t>
    </r>
    <r>
      <rPr>
        <i/>
        <sz val="12"/>
        <color indexed="8"/>
        <rFont val="Arial"/>
        <family val="2"/>
      </rPr>
      <t>μ</t>
    </r>
    <r>
      <rPr>
        <vertAlign val="subscript"/>
        <sz val="12"/>
        <color indexed="8"/>
        <rFont val="Arial"/>
        <family val="2"/>
      </rPr>
      <t>PAO,MAX</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fPHA_PAO</t>
    </r>
    <r>
      <rPr>
        <sz val="12"/>
        <color indexed="8"/>
        <rFont val="Arial"/>
        <family val="2"/>
      </rPr>
      <t>+(</t>
    </r>
    <r>
      <rPr>
        <i/>
        <sz val="12"/>
        <color indexed="8"/>
        <rFont val="Arial"/>
        <family val="2"/>
      </rPr>
      <t>X</t>
    </r>
    <r>
      <rPr>
        <vertAlign val="subscript"/>
        <sz val="12"/>
        <color indexed="8"/>
        <rFont val="Arial"/>
        <family val="2"/>
      </rPr>
      <t>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NHx,PAO</t>
    </r>
    <r>
      <rPr>
        <sz val="12"/>
        <color indexed="8"/>
        <rFont val="Arial"/>
        <family val="2"/>
      </rPr>
      <t>/(</t>
    </r>
    <r>
      <rPr>
        <i/>
        <sz val="12"/>
        <color indexed="8"/>
        <rFont val="Arial"/>
        <family val="2"/>
      </rPr>
      <t>K</t>
    </r>
    <r>
      <rPr>
        <vertAlign val="subscript"/>
        <sz val="12"/>
        <color indexed="8"/>
        <rFont val="Arial"/>
        <family val="2"/>
      </rPr>
      <t>NHx,PAO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PO4,PAO,upt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PAO</t>
    </r>
  </si>
  <si>
    <r>
      <t>i</t>
    </r>
    <r>
      <rPr>
        <vertAlign val="subscript"/>
        <sz val="12"/>
        <color indexed="8"/>
        <rFont val="Arial"/>
        <family val="2"/>
      </rPr>
      <t>N_XBio</t>
    </r>
    <r>
      <rPr>
        <sz val="12"/>
        <color indexed="8"/>
        <rFont val="Arial"/>
        <family val="2"/>
      </rPr>
      <t>-</t>
    </r>
    <r>
      <rPr>
        <i/>
        <sz val="12"/>
        <color indexed="8"/>
        <rFont val="Arial"/>
        <family val="2"/>
      </rPr>
      <t>f</t>
    </r>
    <r>
      <rPr>
        <vertAlign val="subscript"/>
        <sz val="12"/>
        <color indexed="8"/>
        <rFont val="Arial"/>
        <family val="2"/>
      </rPr>
      <t>XU_PAO,lys</t>
    </r>
    <r>
      <rPr>
        <sz val="12"/>
        <color indexed="8"/>
        <rFont val="Arial"/>
        <family val="2"/>
      </rPr>
      <t>*</t>
    </r>
    <r>
      <rPr>
        <i/>
        <sz val="12"/>
        <color indexed="57"/>
        <rFont val="Arial"/>
        <family val="2"/>
      </rPr>
      <t>i</t>
    </r>
    <r>
      <rPr>
        <vertAlign val="subscript"/>
        <sz val="12"/>
        <color indexed="57"/>
        <rFont val="Arial"/>
        <family val="2"/>
      </rPr>
      <t>N_XUE</t>
    </r>
    <r>
      <rPr>
        <sz val="12"/>
        <color indexed="8"/>
        <rFont val="Arial"/>
        <family val="2"/>
      </rPr>
      <t>-</t>
    </r>
    <r>
      <rPr>
        <i/>
        <sz val="12"/>
        <color indexed="8"/>
        <rFont val="Arial"/>
        <family val="2"/>
      </rPr>
      <t>f</t>
    </r>
    <r>
      <rPr>
        <vertAlign val="subscript"/>
        <sz val="12"/>
        <color indexed="8"/>
        <rFont val="Arial"/>
        <family val="2"/>
      </rPr>
      <t>SU_PAO,lys</t>
    </r>
    <r>
      <rPr>
        <sz val="12"/>
        <color indexed="8"/>
        <rFont val="Arial"/>
        <family val="2"/>
      </rPr>
      <t>*</t>
    </r>
    <r>
      <rPr>
        <i/>
        <sz val="12"/>
        <color indexed="8"/>
        <rFont val="Arial"/>
        <family val="2"/>
      </rPr>
      <t>i</t>
    </r>
    <r>
      <rPr>
        <vertAlign val="subscript"/>
        <sz val="12"/>
        <color indexed="8"/>
        <rFont val="Arial"/>
        <family val="2"/>
      </rPr>
      <t>N_SU</t>
    </r>
  </si>
  <si>
    <r>
      <t>i</t>
    </r>
    <r>
      <rPr>
        <vertAlign val="subscript"/>
        <sz val="12"/>
        <color indexed="8"/>
        <rFont val="Arial"/>
        <family val="2"/>
      </rPr>
      <t>P_XBio</t>
    </r>
    <r>
      <rPr>
        <sz val="12"/>
        <color indexed="8"/>
        <rFont val="Arial"/>
        <family val="2"/>
      </rPr>
      <t>-</t>
    </r>
    <r>
      <rPr>
        <i/>
        <sz val="12"/>
        <color indexed="8"/>
        <rFont val="Arial"/>
        <family val="2"/>
      </rPr>
      <t>f</t>
    </r>
    <r>
      <rPr>
        <vertAlign val="subscript"/>
        <sz val="12"/>
        <color indexed="8"/>
        <rFont val="Arial"/>
        <family val="2"/>
      </rPr>
      <t>XU_PAO,lys</t>
    </r>
    <r>
      <rPr>
        <sz val="12"/>
        <color indexed="8"/>
        <rFont val="Arial"/>
        <family val="2"/>
      </rPr>
      <t>*</t>
    </r>
    <r>
      <rPr>
        <i/>
        <sz val="12"/>
        <color indexed="57"/>
        <rFont val="Arial"/>
        <family val="2"/>
      </rPr>
      <t>i</t>
    </r>
    <r>
      <rPr>
        <vertAlign val="subscript"/>
        <sz val="12"/>
        <color indexed="57"/>
        <rFont val="Arial"/>
        <family val="2"/>
      </rPr>
      <t>P_XUE</t>
    </r>
    <r>
      <rPr>
        <sz val="12"/>
        <color indexed="10"/>
        <rFont val="Arial"/>
        <family val="2"/>
      </rPr>
      <t>-</t>
    </r>
    <r>
      <rPr>
        <i/>
        <sz val="12"/>
        <color indexed="10"/>
        <rFont val="Arial"/>
        <family val="2"/>
      </rPr>
      <t>f</t>
    </r>
    <r>
      <rPr>
        <vertAlign val="subscript"/>
        <sz val="12"/>
        <color indexed="10"/>
        <rFont val="Arial"/>
        <family val="2"/>
      </rPr>
      <t>SU_PAO,lys</t>
    </r>
    <r>
      <rPr>
        <sz val="12"/>
        <color indexed="10"/>
        <rFont val="Arial"/>
        <family val="2"/>
      </rPr>
      <t>*</t>
    </r>
    <r>
      <rPr>
        <i/>
        <sz val="12"/>
        <color indexed="10"/>
        <rFont val="Arial"/>
        <family val="2"/>
      </rPr>
      <t>i</t>
    </r>
    <r>
      <rPr>
        <vertAlign val="subscript"/>
        <sz val="12"/>
        <color indexed="10"/>
        <rFont val="Arial"/>
        <family val="2"/>
      </rPr>
      <t>P_SU</t>
    </r>
  </si>
  <si>
    <r>
      <t>m</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X</t>
    </r>
    <r>
      <rPr>
        <vertAlign val="subscript"/>
        <sz val="12"/>
        <color indexed="8"/>
        <rFont val="Arial"/>
        <family val="2"/>
      </rPr>
      <t>PAO</t>
    </r>
  </si>
  <si>
    <r>
      <t>X</t>
    </r>
    <r>
      <rPr>
        <b/>
        <vertAlign val="subscript"/>
        <sz val="10"/>
        <color indexed="8"/>
        <rFont val="Arial"/>
        <family val="2"/>
      </rPr>
      <t xml:space="preserve">PAO,PP  </t>
    </r>
    <r>
      <rPr>
        <b/>
        <sz val="10"/>
        <color indexed="8"/>
        <rFont val="Arial"/>
        <family val="2"/>
      </rPr>
      <t>lysis on aerobic decay</t>
    </r>
  </si>
  <si>
    <r>
      <t>m</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AO</t>
    </r>
  </si>
  <si>
    <r>
      <t>K</t>
    </r>
    <r>
      <rPr>
        <vertAlign val="subscript"/>
        <sz val="12"/>
        <rFont val="Arial"/>
        <family val="2"/>
      </rPr>
      <t>PO4</t>
    </r>
    <r>
      <rPr>
        <b/>
        <vertAlign val="subscript"/>
        <sz val="12"/>
        <rFont val="Arial"/>
        <family val="2"/>
      </rPr>
      <t>-</t>
    </r>
    <r>
      <rPr>
        <vertAlign val="subscript"/>
        <sz val="12"/>
        <rFont val="Arial"/>
        <family val="2"/>
      </rPr>
      <t>up</t>
    </r>
  </si>
  <si>
    <r>
      <t>X</t>
    </r>
    <r>
      <rPr>
        <b/>
        <vertAlign val="subscript"/>
        <sz val="10"/>
        <color indexed="8"/>
        <rFont val="Arial"/>
        <family val="2"/>
      </rPr>
      <t xml:space="preserve">PAO,PHA </t>
    </r>
    <r>
      <rPr>
        <b/>
        <sz val="10"/>
        <color indexed="8"/>
        <rFont val="Arial"/>
        <family val="2"/>
      </rPr>
      <t>lysis on aerobic decay</t>
    </r>
  </si>
  <si>
    <r>
      <t>-</t>
    </r>
    <r>
      <rPr>
        <i/>
        <sz val="12"/>
        <color indexed="8"/>
        <rFont val="Arial"/>
        <family val="2"/>
      </rPr>
      <t>i</t>
    </r>
    <r>
      <rPr>
        <vertAlign val="subscript"/>
        <sz val="12"/>
        <color indexed="8"/>
        <rFont val="Arial"/>
        <family val="2"/>
      </rPr>
      <t>N_XCB</t>
    </r>
  </si>
  <si>
    <r>
      <t>-</t>
    </r>
    <r>
      <rPr>
        <i/>
        <sz val="12"/>
        <color indexed="10"/>
        <rFont val="Arial"/>
        <family val="2"/>
      </rPr>
      <t>i</t>
    </r>
    <r>
      <rPr>
        <vertAlign val="subscript"/>
        <sz val="12"/>
        <color indexed="10"/>
        <rFont val="Arial"/>
        <family val="2"/>
      </rPr>
      <t>P_XCB</t>
    </r>
  </si>
  <si>
    <r>
      <t>m</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NHx</t>
    </r>
    <r>
      <rPr>
        <sz val="12"/>
        <color indexed="10"/>
        <rFont val="Arial"/>
        <family val="2"/>
      </rPr>
      <t>/(</t>
    </r>
    <r>
      <rPr>
        <i/>
        <sz val="12"/>
        <color indexed="10"/>
        <rFont val="Arial"/>
        <family val="2"/>
      </rPr>
      <t>K</t>
    </r>
    <r>
      <rPr>
        <vertAlign val="subscript"/>
        <sz val="12"/>
        <color indexed="10"/>
        <rFont val="Arial"/>
        <family val="2"/>
      </rPr>
      <t>NHx,PAO</t>
    </r>
    <r>
      <rPr>
        <sz val="12"/>
        <color indexed="10"/>
        <rFont val="Arial"/>
        <family val="2"/>
      </rPr>
      <t>+</t>
    </r>
    <r>
      <rPr>
        <i/>
        <sz val="12"/>
        <color indexed="10"/>
        <rFont val="Arial"/>
        <family val="2"/>
      </rPr>
      <t>S</t>
    </r>
    <r>
      <rPr>
        <vertAlign val="subscript"/>
        <sz val="12"/>
        <color indexed="10"/>
        <rFont val="Arial"/>
        <family val="2"/>
      </rPr>
      <t>NHx</t>
    </r>
    <r>
      <rPr>
        <sz val="12"/>
        <color indexed="10"/>
        <rFont val="Arial"/>
        <family val="2"/>
      </rPr>
      <t>)]*[</t>
    </r>
    <r>
      <rPr>
        <i/>
        <sz val="12"/>
        <color indexed="10"/>
        <rFont val="Arial"/>
        <family val="2"/>
      </rPr>
      <t>S</t>
    </r>
    <r>
      <rPr>
        <vertAlign val="subscript"/>
        <sz val="12"/>
        <color indexed="10"/>
        <rFont val="Arial"/>
        <family val="2"/>
      </rPr>
      <t>PO4</t>
    </r>
    <r>
      <rPr>
        <sz val="12"/>
        <color indexed="10"/>
        <rFont val="Arial"/>
        <family val="2"/>
      </rPr>
      <t>/(</t>
    </r>
    <r>
      <rPr>
        <i/>
        <sz val="12"/>
        <color indexed="10"/>
        <rFont val="Arial"/>
        <family val="2"/>
      </rPr>
      <t>K</t>
    </r>
    <r>
      <rPr>
        <vertAlign val="subscript"/>
        <sz val="12"/>
        <color indexed="10"/>
        <rFont val="Arial"/>
        <family val="2"/>
      </rPr>
      <t>PO4,PAO,lys</t>
    </r>
    <r>
      <rPr>
        <sz val="12"/>
        <color indexed="10"/>
        <rFont val="Arial"/>
        <family val="2"/>
      </rPr>
      <t>+</t>
    </r>
    <r>
      <rPr>
        <i/>
        <sz val="12"/>
        <color indexed="10"/>
        <rFont val="Arial"/>
        <family val="2"/>
      </rPr>
      <t>S</t>
    </r>
    <r>
      <rPr>
        <vertAlign val="subscript"/>
        <sz val="12"/>
        <color indexed="10"/>
        <rFont val="Arial"/>
        <family val="2"/>
      </rPr>
      <t>PO4</t>
    </r>
    <r>
      <rPr>
        <sz val="12"/>
        <color indexed="10"/>
        <rFont val="Arial"/>
        <family val="2"/>
      </rPr>
      <t>)]</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</si>
  <si>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K</t>
    </r>
    <r>
      <rPr>
        <vertAlign val="subscript"/>
        <sz val="12"/>
        <color indexed="10"/>
        <rFont val="Arial"/>
        <family val="2"/>
      </rPr>
      <t>PO4</t>
    </r>
    <r>
      <rPr>
        <b/>
        <vertAlign val="subscript"/>
        <sz val="12"/>
        <color indexed="10"/>
        <rFont val="Arial"/>
        <family val="2"/>
      </rPr>
      <t>-</t>
    </r>
    <r>
      <rPr>
        <vertAlign val="subscript"/>
        <sz val="12"/>
        <color indexed="10"/>
        <rFont val="Arial"/>
        <family val="2"/>
      </rPr>
      <t>lys</t>
    </r>
  </si>
  <si>
    <r>
      <t>g S</t>
    </r>
    <r>
      <rPr>
        <b/>
        <vertAlign val="subscript"/>
        <sz val="8"/>
        <color indexed="10"/>
        <rFont val="Arial"/>
        <family val="2"/>
      </rPr>
      <t>PO4</t>
    </r>
    <r>
      <rPr>
        <b/>
        <sz val="8"/>
        <color indexed="10"/>
        <rFont val="Arial"/>
        <family val="2"/>
      </rPr>
      <t>.m</t>
    </r>
    <r>
      <rPr>
        <b/>
        <vertAlign val="superscript"/>
        <sz val="10"/>
        <color indexed="10"/>
        <rFont val="Arial"/>
        <family val="2"/>
      </rPr>
      <t>-3</t>
    </r>
  </si>
  <si>
    <r>
      <t>i</t>
    </r>
    <r>
      <rPr>
        <vertAlign val="subscript"/>
        <sz val="12"/>
        <color indexed="8"/>
        <rFont val="Arial"/>
        <family val="2"/>
      </rPr>
      <t>N_XBio</t>
    </r>
    <r>
      <rPr>
        <sz val="12"/>
        <color indexed="8"/>
        <rFont val="Arial"/>
        <family val="2"/>
      </rPr>
      <t>-</t>
    </r>
    <r>
      <rPr>
        <i/>
        <sz val="12"/>
        <color indexed="8"/>
        <rFont val="Arial"/>
        <family val="2"/>
      </rPr>
      <t>f</t>
    </r>
    <r>
      <rPr>
        <vertAlign val="subscript"/>
        <sz val="12"/>
        <color indexed="8"/>
        <rFont val="Arial"/>
        <family val="2"/>
      </rPr>
      <t>XU_PAO,lys</t>
    </r>
    <r>
      <rPr>
        <sz val="12"/>
        <color indexed="8"/>
        <rFont val="Arial"/>
        <family val="2"/>
      </rPr>
      <t>*</t>
    </r>
    <r>
      <rPr>
        <i/>
        <sz val="12"/>
        <color indexed="57"/>
        <rFont val="Arial"/>
        <family val="2"/>
      </rPr>
      <t>i</t>
    </r>
    <r>
      <rPr>
        <vertAlign val="subscript"/>
        <sz val="12"/>
        <color indexed="57"/>
        <rFont val="Arial"/>
        <family val="2"/>
      </rPr>
      <t>N_XUE</t>
    </r>
    <r>
      <rPr>
        <sz val="12"/>
        <color indexed="8"/>
        <rFont val="Arial"/>
        <family val="2"/>
      </rPr>
      <t>-</t>
    </r>
    <r>
      <rPr>
        <i/>
        <sz val="12"/>
        <color indexed="8"/>
        <rFont val="Arial"/>
        <family val="2"/>
      </rPr>
      <t>f</t>
    </r>
    <r>
      <rPr>
        <vertAlign val="subscript"/>
        <sz val="12"/>
        <color indexed="8"/>
        <rFont val="Arial"/>
        <family val="2"/>
      </rPr>
      <t>SU_PAO,lys</t>
    </r>
    <r>
      <rPr>
        <sz val="12"/>
        <color indexed="8"/>
        <rFont val="Arial"/>
        <family val="2"/>
      </rPr>
      <t>*</t>
    </r>
    <r>
      <rPr>
        <i/>
        <sz val="12"/>
        <color indexed="8"/>
        <rFont val="Arial"/>
        <family val="2"/>
      </rPr>
      <t>i</t>
    </r>
    <r>
      <rPr>
        <vertAlign val="subscript"/>
        <sz val="12"/>
        <color indexed="8"/>
        <rFont val="Arial"/>
        <family val="2"/>
      </rPr>
      <t>N_SU</t>
    </r>
    <r>
      <rPr>
        <sz val="12"/>
        <color indexed="8"/>
        <rFont val="Arial"/>
        <family val="2"/>
      </rPr>
      <t>-</t>
    </r>
    <r>
      <rPr>
        <i/>
        <sz val="12"/>
        <color indexed="8"/>
        <rFont val="Arial"/>
        <family val="2"/>
      </rPr>
      <t>i</t>
    </r>
    <r>
      <rPr>
        <vertAlign val="subscript"/>
        <sz val="12"/>
        <color indexed="8"/>
        <rFont val="Arial"/>
        <family val="2"/>
      </rPr>
      <t>N_XCB</t>
    </r>
    <r>
      <rPr>
        <sz val="12"/>
        <color indexed="8"/>
        <rFont val="Arial"/>
        <family val="2"/>
      </rPr>
      <t>*(1-</t>
    </r>
    <r>
      <rPr>
        <i/>
        <sz val="12"/>
        <color indexed="8"/>
        <rFont val="Arial"/>
        <family val="2"/>
      </rPr>
      <t>η</t>
    </r>
    <r>
      <rPr>
        <vertAlign val="subscript"/>
        <sz val="12"/>
        <color indexed="8"/>
        <rFont val="Arial"/>
        <family val="2"/>
      </rPr>
      <t>μPAO</t>
    </r>
    <r>
      <rPr>
        <sz val="12"/>
        <color indexed="8"/>
        <rFont val="Arial"/>
        <family val="2"/>
      </rPr>
      <t>)*(1-</t>
    </r>
    <r>
      <rPr>
        <i/>
        <sz val="12"/>
        <color indexed="8"/>
        <rFont val="Arial"/>
        <family val="2"/>
      </rPr>
      <t>f</t>
    </r>
    <r>
      <rPr>
        <vertAlign val="subscript"/>
        <sz val="12"/>
        <color indexed="8"/>
        <rFont val="Arial"/>
        <family val="2"/>
      </rPr>
      <t>XU_PAO,lys</t>
    </r>
    <r>
      <rPr>
        <sz val="12"/>
        <color indexed="8"/>
        <rFont val="Arial"/>
        <family val="2"/>
      </rPr>
      <t>-</t>
    </r>
    <r>
      <rPr>
        <i/>
        <sz val="12"/>
        <color indexed="8"/>
        <rFont val="Arial"/>
        <family val="2"/>
      </rPr>
      <t>f</t>
    </r>
    <r>
      <rPr>
        <vertAlign val="subscript"/>
        <sz val="12"/>
        <color indexed="8"/>
        <rFont val="Arial"/>
        <family val="2"/>
      </rPr>
      <t>SU_PAO,lys</t>
    </r>
    <r>
      <rPr>
        <sz val="12"/>
        <color indexed="8"/>
        <rFont val="Arial"/>
        <family val="2"/>
      </rPr>
      <t>)</t>
    </r>
  </si>
  <si>
    <r>
      <t>-</t>
    </r>
    <r>
      <rPr>
        <i/>
        <sz val="12"/>
        <color indexed="8"/>
        <rFont val="Arial"/>
        <family val="2"/>
      </rPr>
      <t>η</t>
    </r>
    <r>
      <rPr>
        <vertAlign val="subscript"/>
        <sz val="12"/>
        <color indexed="8"/>
        <rFont val="Arial"/>
        <family val="2"/>
      </rPr>
      <t>μPAO</t>
    </r>
    <r>
      <rPr>
        <sz val="12"/>
        <color indexed="8"/>
        <rFont val="Arial"/>
        <family val="2"/>
      </rPr>
      <t>*(1-</t>
    </r>
    <r>
      <rPr>
        <i/>
        <sz val="12"/>
        <color indexed="8"/>
        <rFont val="Arial"/>
        <family val="2"/>
      </rPr>
      <t>f</t>
    </r>
    <r>
      <rPr>
        <vertAlign val="subscript"/>
        <sz val="12"/>
        <color indexed="8"/>
        <rFont val="Arial"/>
        <family val="2"/>
      </rPr>
      <t>XU_PAO,lys</t>
    </r>
    <r>
      <rPr>
        <sz val="12"/>
        <color indexed="8"/>
        <rFont val="Arial"/>
        <family val="2"/>
      </rPr>
      <t>-</t>
    </r>
    <r>
      <rPr>
        <i/>
        <sz val="12"/>
        <color indexed="8"/>
        <rFont val="Arial"/>
        <family val="2"/>
      </rPr>
      <t>f</t>
    </r>
    <r>
      <rPr>
        <vertAlign val="subscript"/>
        <sz val="12"/>
        <color indexed="8"/>
        <rFont val="Arial"/>
        <family val="2"/>
      </rPr>
      <t>SU_PAO,lys</t>
    </r>
    <r>
      <rPr>
        <sz val="12"/>
        <color indexed="8"/>
        <rFont val="Arial"/>
        <family val="2"/>
      </rPr>
      <t>)/</t>
    </r>
    <r>
      <rPr>
        <i/>
        <sz val="12"/>
        <color indexed="8"/>
        <rFont val="Arial"/>
        <family val="2"/>
      </rPr>
      <t>i</t>
    </r>
    <r>
      <rPr>
        <vertAlign val="subscript"/>
        <sz val="12"/>
        <color indexed="8"/>
        <rFont val="Arial"/>
        <family val="2"/>
      </rPr>
      <t>NOx,N2</t>
    </r>
  </si>
  <si>
    <r>
      <t>i</t>
    </r>
    <r>
      <rPr>
        <vertAlign val="subscript"/>
        <sz val="12"/>
        <color indexed="8"/>
        <rFont val="Arial"/>
        <family val="2"/>
      </rPr>
      <t>P_XBio</t>
    </r>
    <r>
      <rPr>
        <sz val="12"/>
        <color indexed="8"/>
        <rFont val="Arial"/>
        <family val="2"/>
      </rPr>
      <t>-</t>
    </r>
    <r>
      <rPr>
        <i/>
        <sz val="12"/>
        <color indexed="8"/>
        <rFont val="Arial"/>
        <family val="2"/>
      </rPr>
      <t>f</t>
    </r>
    <r>
      <rPr>
        <vertAlign val="subscript"/>
        <sz val="12"/>
        <color indexed="8"/>
        <rFont val="Arial"/>
        <family val="2"/>
      </rPr>
      <t>XU_PAO,lys</t>
    </r>
    <r>
      <rPr>
        <sz val="12"/>
        <color indexed="8"/>
        <rFont val="Arial"/>
        <family val="2"/>
      </rPr>
      <t>*</t>
    </r>
    <r>
      <rPr>
        <i/>
        <sz val="12"/>
        <color indexed="8"/>
        <rFont val="Arial"/>
        <family val="2"/>
      </rPr>
      <t>i</t>
    </r>
    <r>
      <rPr>
        <vertAlign val="subscript"/>
        <sz val="12"/>
        <color indexed="57"/>
        <rFont val="Arial"/>
        <family val="2"/>
      </rPr>
      <t>P_XUE</t>
    </r>
    <r>
      <rPr>
        <sz val="12"/>
        <color indexed="10"/>
        <rFont val="Arial"/>
        <family val="2"/>
      </rPr>
      <t>-</t>
    </r>
    <r>
      <rPr>
        <i/>
        <sz val="12"/>
        <color indexed="10"/>
        <rFont val="Arial"/>
        <family val="2"/>
      </rPr>
      <t>f</t>
    </r>
    <r>
      <rPr>
        <vertAlign val="subscript"/>
        <sz val="12"/>
        <color indexed="10"/>
        <rFont val="Arial"/>
        <family val="2"/>
      </rPr>
      <t>SU_PAO,lys</t>
    </r>
    <r>
      <rPr>
        <sz val="12"/>
        <color indexed="10"/>
        <rFont val="Arial"/>
        <family val="2"/>
      </rPr>
      <t>*</t>
    </r>
    <r>
      <rPr>
        <i/>
        <sz val="12"/>
        <color indexed="10"/>
        <rFont val="Arial"/>
        <family val="2"/>
      </rPr>
      <t>i</t>
    </r>
    <r>
      <rPr>
        <vertAlign val="subscript"/>
        <sz val="12"/>
        <color indexed="10"/>
        <rFont val="Arial"/>
        <family val="2"/>
      </rPr>
      <t>P_SU</t>
    </r>
    <r>
      <rPr>
        <sz val="12"/>
        <color indexed="10"/>
        <rFont val="Arial"/>
        <family val="2"/>
      </rPr>
      <t>-(1-</t>
    </r>
    <r>
      <rPr>
        <i/>
        <sz val="12"/>
        <color indexed="10"/>
        <rFont val="Arial"/>
        <family val="2"/>
      </rPr>
      <t>η</t>
    </r>
    <r>
      <rPr>
        <vertAlign val="subscript"/>
        <sz val="12"/>
        <color indexed="10"/>
        <rFont val="Arial"/>
        <family val="2"/>
      </rPr>
      <t>μPAO</t>
    </r>
    <r>
      <rPr>
        <sz val="12"/>
        <color indexed="10"/>
        <rFont val="Arial"/>
        <family val="2"/>
      </rPr>
      <t>)*(1-</t>
    </r>
    <r>
      <rPr>
        <i/>
        <sz val="12"/>
        <color indexed="10"/>
        <rFont val="Arial"/>
        <family val="2"/>
      </rPr>
      <t>f</t>
    </r>
    <r>
      <rPr>
        <vertAlign val="subscript"/>
        <sz val="12"/>
        <color indexed="10"/>
        <rFont val="Arial"/>
        <family val="2"/>
      </rPr>
      <t>XU_PAO,lys</t>
    </r>
    <r>
      <rPr>
        <sz val="12"/>
        <color indexed="10"/>
        <rFont val="Arial"/>
        <family val="2"/>
      </rPr>
      <t>-</t>
    </r>
    <r>
      <rPr>
        <i/>
        <sz val="12"/>
        <color indexed="10"/>
        <rFont val="Arial"/>
        <family val="2"/>
      </rPr>
      <t>f</t>
    </r>
    <r>
      <rPr>
        <vertAlign val="subscript"/>
        <sz val="12"/>
        <color indexed="10"/>
        <rFont val="Arial"/>
        <family val="2"/>
      </rPr>
      <t>SU_PAO,lys</t>
    </r>
    <r>
      <rPr>
        <sz val="12"/>
        <color indexed="10"/>
        <rFont val="Arial"/>
        <family val="2"/>
      </rPr>
      <t>)*</t>
    </r>
    <r>
      <rPr>
        <i/>
        <sz val="12"/>
        <color indexed="10"/>
        <rFont val="Arial"/>
        <family val="2"/>
      </rPr>
      <t>i</t>
    </r>
    <r>
      <rPr>
        <vertAlign val="subscript"/>
        <sz val="12"/>
        <color indexed="10"/>
        <rFont val="Arial"/>
        <family val="2"/>
      </rPr>
      <t>P_XCB</t>
    </r>
  </si>
  <si>
    <r>
      <t>(1-</t>
    </r>
    <r>
      <rPr>
        <i/>
        <sz val="12"/>
        <color indexed="8"/>
        <rFont val="Arial"/>
        <family val="2"/>
      </rPr>
      <t>η</t>
    </r>
    <r>
      <rPr>
        <vertAlign val="subscript"/>
        <sz val="12"/>
        <color indexed="8"/>
        <rFont val="Arial"/>
        <family val="2"/>
      </rPr>
      <t>μPAO</t>
    </r>
    <r>
      <rPr>
        <sz val="12"/>
        <color indexed="8"/>
        <rFont val="Arial"/>
        <family val="2"/>
      </rPr>
      <t>)*(1-</t>
    </r>
    <r>
      <rPr>
        <i/>
        <sz val="12"/>
        <color indexed="8"/>
        <rFont val="Arial"/>
        <family val="2"/>
      </rPr>
      <t>f</t>
    </r>
    <r>
      <rPr>
        <vertAlign val="subscript"/>
        <sz val="12"/>
        <color indexed="8"/>
        <rFont val="Arial"/>
        <family val="2"/>
      </rPr>
      <t>XU_PAO,lys</t>
    </r>
    <r>
      <rPr>
        <sz val="12"/>
        <color indexed="8"/>
        <rFont val="Arial"/>
        <family val="2"/>
      </rPr>
      <t>-</t>
    </r>
    <r>
      <rPr>
        <i/>
        <sz val="12"/>
        <color indexed="8"/>
        <rFont val="Arial"/>
        <family val="2"/>
      </rPr>
      <t>f</t>
    </r>
    <r>
      <rPr>
        <vertAlign val="subscript"/>
        <sz val="12"/>
        <color indexed="8"/>
        <rFont val="Arial"/>
        <family val="2"/>
      </rPr>
      <t>SU_PAO,lys</t>
    </r>
    <r>
      <rPr>
        <sz val="12"/>
        <color indexed="8"/>
        <rFont val="Arial"/>
        <family val="2"/>
      </rPr>
      <t>)</t>
    </r>
  </si>
  <si>
    <r>
      <t>η</t>
    </r>
    <r>
      <rPr>
        <vertAlign val="subscript"/>
        <sz val="12"/>
        <color indexed="10"/>
        <rFont val="Arial"/>
        <family val="2"/>
      </rPr>
      <t>μPAO</t>
    </r>
    <r>
      <rPr>
        <sz val="12"/>
        <color indexed="10"/>
        <rFont val="Arial"/>
        <family val="2"/>
      </rPr>
      <t>*(1-</t>
    </r>
    <r>
      <rPr>
        <i/>
        <sz val="12"/>
        <color indexed="10"/>
        <rFont val="Arial"/>
        <family val="2"/>
      </rPr>
      <t>f</t>
    </r>
    <r>
      <rPr>
        <vertAlign val="subscript"/>
        <sz val="12"/>
        <color indexed="10"/>
        <rFont val="Arial"/>
        <family val="2"/>
      </rPr>
      <t>XU_PAO,lys</t>
    </r>
    <r>
      <rPr>
        <sz val="12"/>
        <color indexed="10"/>
        <rFont val="Arial"/>
        <family val="2"/>
      </rPr>
      <t>-</t>
    </r>
    <r>
      <rPr>
        <i/>
        <sz val="12"/>
        <color indexed="10"/>
        <rFont val="Arial"/>
        <family val="2"/>
      </rPr>
      <t>f</t>
    </r>
    <r>
      <rPr>
        <vertAlign val="subscript"/>
        <sz val="12"/>
        <color indexed="10"/>
        <rFont val="Arial"/>
        <family val="2"/>
      </rPr>
      <t>SU_PAO,lys</t>
    </r>
    <r>
      <rPr>
        <sz val="12"/>
        <color indexed="10"/>
        <rFont val="Arial"/>
        <family val="2"/>
      </rPr>
      <t>)/</t>
    </r>
    <r>
      <rPr>
        <i/>
        <sz val="12"/>
        <color indexed="10"/>
        <rFont val="Arial"/>
        <family val="2"/>
      </rPr>
      <t>i</t>
    </r>
    <r>
      <rPr>
        <vertAlign val="subscript"/>
        <sz val="12"/>
        <color indexed="10"/>
        <rFont val="Arial"/>
        <family val="2"/>
      </rPr>
      <t>NOx,N2</t>
    </r>
  </si>
  <si>
    <r>
      <t>m</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PAO</t>
    </r>
  </si>
  <si>
    <r>
      <t>Saturation constant for X</t>
    </r>
    <r>
      <rPr>
        <vertAlign val="subscript"/>
        <sz val="10"/>
        <rFont val="Arial"/>
        <family val="2"/>
      </rPr>
      <t>PAO,PP</t>
    </r>
    <r>
      <rPr>
        <sz val="10"/>
        <rFont val="Arial"/>
        <family val="2"/>
      </rPr>
      <t xml:space="preserve"> </t>
    </r>
  </si>
  <si>
    <r>
      <t>X</t>
    </r>
    <r>
      <rPr>
        <b/>
        <vertAlign val="subscript"/>
        <sz val="10"/>
        <color indexed="8"/>
        <rFont val="Arial"/>
        <family val="2"/>
      </rPr>
      <t xml:space="preserve">PAO,PP </t>
    </r>
    <r>
      <rPr>
        <b/>
        <sz val="10"/>
        <color indexed="8"/>
        <rFont val="Arial"/>
        <family val="2"/>
      </rPr>
      <t>lysis on anoxic decay</t>
    </r>
  </si>
  <si>
    <r>
      <t>m</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</si>
  <si>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X</t>
    </r>
    <r>
      <rPr>
        <b/>
        <vertAlign val="subscript"/>
        <sz val="10"/>
        <color indexed="8"/>
        <rFont val="Arial"/>
        <family val="2"/>
      </rPr>
      <t xml:space="preserve">PAO,PHA </t>
    </r>
    <r>
      <rPr>
        <b/>
        <sz val="10"/>
        <color indexed="8"/>
        <rFont val="Arial"/>
        <family val="2"/>
      </rPr>
      <t>lysis on anoxic decay</t>
    </r>
  </si>
  <si>
    <r>
      <t>m</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NHx</t>
    </r>
    <r>
      <rPr>
        <sz val="12"/>
        <color indexed="10"/>
        <rFont val="Arial"/>
        <family val="2"/>
      </rPr>
      <t>/(</t>
    </r>
    <r>
      <rPr>
        <i/>
        <sz val="12"/>
        <color indexed="10"/>
        <rFont val="Arial"/>
        <family val="2"/>
      </rPr>
      <t>K</t>
    </r>
    <r>
      <rPr>
        <vertAlign val="subscript"/>
        <sz val="12"/>
        <color indexed="10"/>
        <rFont val="Arial"/>
        <family val="2"/>
      </rPr>
      <t>NHx,PAO</t>
    </r>
    <r>
      <rPr>
        <sz val="12"/>
        <color indexed="10"/>
        <rFont val="Arial"/>
        <family val="2"/>
      </rPr>
      <t>+</t>
    </r>
    <r>
      <rPr>
        <i/>
        <sz val="12"/>
        <color indexed="10"/>
        <rFont val="Arial"/>
        <family val="2"/>
      </rPr>
      <t>S</t>
    </r>
    <r>
      <rPr>
        <vertAlign val="subscript"/>
        <sz val="12"/>
        <color indexed="10"/>
        <rFont val="Arial"/>
        <family val="2"/>
      </rPr>
      <t>NHx</t>
    </r>
    <r>
      <rPr>
        <sz val="12"/>
        <color indexed="10"/>
        <rFont val="Arial"/>
        <family val="2"/>
      </rPr>
      <t>)]*[</t>
    </r>
    <r>
      <rPr>
        <i/>
        <sz val="12"/>
        <color indexed="10"/>
        <rFont val="Arial"/>
        <family val="2"/>
      </rPr>
      <t>S</t>
    </r>
    <r>
      <rPr>
        <vertAlign val="subscript"/>
        <sz val="12"/>
        <color indexed="10"/>
        <rFont val="Arial"/>
        <family val="2"/>
      </rPr>
      <t>PO4</t>
    </r>
    <r>
      <rPr>
        <sz val="12"/>
        <color indexed="10"/>
        <rFont val="Arial"/>
        <family val="2"/>
      </rPr>
      <t>/(</t>
    </r>
    <r>
      <rPr>
        <i/>
        <sz val="12"/>
        <color indexed="10"/>
        <rFont val="Arial"/>
        <family val="2"/>
      </rPr>
      <t>K</t>
    </r>
    <r>
      <rPr>
        <vertAlign val="subscript"/>
        <sz val="12"/>
        <color indexed="10"/>
        <rFont val="Arial"/>
        <family val="2"/>
      </rPr>
      <t>PO4,PAO,lys</t>
    </r>
    <r>
      <rPr>
        <sz val="12"/>
        <color indexed="10"/>
        <rFont val="Arial"/>
        <family val="2"/>
      </rPr>
      <t>+</t>
    </r>
    <r>
      <rPr>
        <i/>
        <sz val="12"/>
        <color indexed="10"/>
        <rFont val="Arial"/>
        <family val="2"/>
      </rPr>
      <t>S</t>
    </r>
    <r>
      <rPr>
        <vertAlign val="subscript"/>
        <sz val="12"/>
        <color indexed="10"/>
        <rFont val="Arial"/>
        <family val="2"/>
      </rPr>
      <t>PO4</t>
    </r>
    <r>
      <rPr>
        <sz val="12"/>
        <color indexed="10"/>
        <rFont val="Arial"/>
        <family val="2"/>
      </rPr>
      <t>)]</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</si>
  <si>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i</t>
    </r>
    <r>
      <rPr>
        <vertAlign val="subscript"/>
        <sz val="12"/>
        <color indexed="8"/>
        <rFont val="Arial"/>
        <family val="2"/>
      </rPr>
      <t>N_XBio</t>
    </r>
    <r>
      <rPr>
        <sz val="12"/>
        <color indexed="8"/>
        <rFont val="Arial"/>
        <family val="2"/>
      </rPr>
      <t>-</t>
    </r>
    <r>
      <rPr>
        <i/>
        <sz val="12"/>
        <color indexed="8"/>
        <rFont val="Arial"/>
        <family val="2"/>
      </rPr>
      <t>f</t>
    </r>
    <r>
      <rPr>
        <vertAlign val="subscript"/>
        <sz val="12"/>
        <color indexed="8"/>
        <rFont val="Arial"/>
        <family val="2"/>
      </rPr>
      <t>XU_PAO,lys</t>
    </r>
    <r>
      <rPr>
        <sz val="12"/>
        <color indexed="8"/>
        <rFont val="Arial"/>
        <family val="2"/>
      </rPr>
      <t>*</t>
    </r>
    <r>
      <rPr>
        <i/>
        <sz val="12"/>
        <color indexed="57"/>
        <rFont val="Arial"/>
        <family val="2"/>
      </rPr>
      <t>i</t>
    </r>
    <r>
      <rPr>
        <vertAlign val="subscript"/>
        <sz val="12"/>
        <color indexed="57"/>
        <rFont val="Arial"/>
        <family val="2"/>
      </rPr>
      <t>N_XUE</t>
    </r>
    <r>
      <rPr>
        <sz val="12"/>
        <color indexed="8"/>
        <rFont val="Arial"/>
        <family val="2"/>
      </rPr>
      <t>-</t>
    </r>
    <r>
      <rPr>
        <i/>
        <sz val="12"/>
        <color indexed="8"/>
        <rFont val="Arial"/>
        <family val="2"/>
      </rPr>
      <t>f</t>
    </r>
    <r>
      <rPr>
        <vertAlign val="subscript"/>
        <sz val="12"/>
        <color indexed="8"/>
        <rFont val="Arial"/>
        <family val="2"/>
      </rPr>
      <t>SU_PAO,lys</t>
    </r>
    <r>
      <rPr>
        <sz val="12"/>
        <color indexed="8"/>
        <rFont val="Arial"/>
        <family val="2"/>
      </rPr>
      <t>*</t>
    </r>
    <r>
      <rPr>
        <i/>
        <sz val="12"/>
        <color indexed="8"/>
        <rFont val="Arial"/>
        <family val="2"/>
      </rPr>
      <t>i</t>
    </r>
    <r>
      <rPr>
        <vertAlign val="subscript"/>
        <sz val="12"/>
        <color indexed="8"/>
        <rFont val="Arial"/>
        <family val="2"/>
      </rPr>
      <t>N_SU</t>
    </r>
    <r>
      <rPr>
        <sz val="12"/>
        <color indexed="8"/>
        <rFont val="Arial"/>
        <family val="2"/>
      </rPr>
      <t>-</t>
    </r>
    <r>
      <rPr>
        <i/>
        <sz val="12"/>
        <color indexed="8"/>
        <rFont val="Arial"/>
        <family val="2"/>
      </rPr>
      <t>i</t>
    </r>
    <r>
      <rPr>
        <vertAlign val="subscript"/>
        <sz val="12"/>
        <color indexed="8"/>
        <rFont val="Arial"/>
        <family val="2"/>
      </rPr>
      <t>N_XCB</t>
    </r>
    <r>
      <rPr>
        <sz val="12"/>
        <color indexed="8"/>
        <rFont val="Arial"/>
        <family val="2"/>
      </rPr>
      <t>*(1-</t>
    </r>
    <r>
      <rPr>
        <i/>
        <sz val="12"/>
        <color indexed="8"/>
        <rFont val="Arial"/>
        <family val="2"/>
      </rPr>
      <t>f</t>
    </r>
    <r>
      <rPr>
        <vertAlign val="subscript"/>
        <sz val="12"/>
        <color indexed="8"/>
        <rFont val="Arial"/>
        <family val="2"/>
      </rPr>
      <t>XU_PAO,lys</t>
    </r>
    <r>
      <rPr>
        <sz val="12"/>
        <color indexed="8"/>
        <rFont val="Arial"/>
        <family val="2"/>
      </rPr>
      <t>-</t>
    </r>
    <r>
      <rPr>
        <i/>
        <sz val="12"/>
        <color indexed="8"/>
        <rFont val="Arial"/>
        <family val="2"/>
      </rPr>
      <t>f</t>
    </r>
    <r>
      <rPr>
        <vertAlign val="subscript"/>
        <sz val="12"/>
        <color indexed="8"/>
        <rFont val="Arial"/>
        <family val="2"/>
      </rPr>
      <t>SU_PAO,lys</t>
    </r>
    <r>
      <rPr>
        <sz val="12"/>
        <color indexed="8"/>
        <rFont val="Arial"/>
        <family val="2"/>
      </rPr>
      <t>)</t>
    </r>
  </si>
  <si>
    <r>
      <t>i</t>
    </r>
    <r>
      <rPr>
        <vertAlign val="subscript"/>
        <sz val="12"/>
        <color indexed="8"/>
        <rFont val="Arial"/>
        <family val="2"/>
      </rPr>
      <t>P_XBio</t>
    </r>
    <r>
      <rPr>
        <sz val="12"/>
        <color indexed="8"/>
        <rFont val="Arial"/>
        <family val="2"/>
      </rPr>
      <t>-</t>
    </r>
    <r>
      <rPr>
        <i/>
        <sz val="12"/>
        <color indexed="8"/>
        <rFont val="Arial"/>
        <family val="2"/>
      </rPr>
      <t>f</t>
    </r>
    <r>
      <rPr>
        <vertAlign val="subscript"/>
        <sz val="12"/>
        <color indexed="8"/>
        <rFont val="Arial"/>
        <family val="2"/>
      </rPr>
      <t>XU_PAO,lys</t>
    </r>
    <r>
      <rPr>
        <sz val="12"/>
        <color indexed="8"/>
        <rFont val="Arial"/>
        <family val="2"/>
      </rPr>
      <t>*</t>
    </r>
    <r>
      <rPr>
        <i/>
        <sz val="12"/>
        <color indexed="57"/>
        <rFont val="Arial"/>
        <family val="2"/>
      </rPr>
      <t>i</t>
    </r>
    <r>
      <rPr>
        <vertAlign val="subscript"/>
        <sz val="12"/>
        <color indexed="57"/>
        <rFont val="Arial"/>
        <family val="2"/>
      </rPr>
      <t>P_XUE</t>
    </r>
    <r>
      <rPr>
        <sz val="12"/>
        <color indexed="10"/>
        <rFont val="Arial"/>
        <family val="2"/>
      </rPr>
      <t>-</t>
    </r>
    <r>
      <rPr>
        <i/>
        <sz val="12"/>
        <color indexed="10"/>
        <rFont val="Arial"/>
        <family val="2"/>
      </rPr>
      <t>f</t>
    </r>
    <r>
      <rPr>
        <vertAlign val="subscript"/>
        <sz val="12"/>
        <color indexed="10"/>
        <rFont val="Arial"/>
        <family val="2"/>
      </rPr>
      <t>SU_PAO,lys</t>
    </r>
    <r>
      <rPr>
        <sz val="12"/>
        <color indexed="10"/>
        <rFont val="Arial"/>
        <family val="2"/>
      </rPr>
      <t>*</t>
    </r>
    <r>
      <rPr>
        <i/>
        <sz val="12"/>
        <color indexed="10"/>
        <rFont val="Arial"/>
        <family val="2"/>
      </rPr>
      <t>i</t>
    </r>
    <r>
      <rPr>
        <vertAlign val="subscript"/>
        <sz val="12"/>
        <color indexed="10"/>
        <rFont val="Arial"/>
        <family val="2"/>
      </rPr>
      <t>P_SU</t>
    </r>
    <r>
      <rPr>
        <sz val="12"/>
        <color indexed="10"/>
        <rFont val="Arial"/>
        <family val="2"/>
      </rPr>
      <t>-(1-</t>
    </r>
    <r>
      <rPr>
        <i/>
        <sz val="12"/>
        <color indexed="10"/>
        <rFont val="Arial"/>
        <family val="2"/>
      </rPr>
      <t>f</t>
    </r>
    <r>
      <rPr>
        <vertAlign val="subscript"/>
        <sz val="12"/>
        <color indexed="10"/>
        <rFont val="Arial"/>
        <family val="2"/>
      </rPr>
      <t>XU_PAO,lys</t>
    </r>
    <r>
      <rPr>
        <sz val="12"/>
        <color indexed="10"/>
        <rFont val="Arial"/>
        <family val="2"/>
      </rPr>
      <t>-</t>
    </r>
    <r>
      <rPr>
        <i/>
        <sz val="12"/>
        <color indexed="10"/>
        <rFont val="Arial"/>
        <family val="2"/>
      </rPr>
      <t>f</t>
    </r>
    <r>
      <rPr>
        <vertAlign val="subscript"/>
        <sz val="12"/>
        <color indexed="10"/>
        <rFont val="Arial"/>
        <family val="2"/>
      </rPr>
      <t>SU_PAO,lys</t>
    </r>
    <r>
      <rPr>
        <sz val="12"/>
        <color indexed="10"/>
        <rFont val="Arial"/>
        <family val="2"/>
      </rPr>
      <t>)*</t>
    </r>
    <r>
      <rPr>
        <i/>
        <sz val="12"/>
        <color indexed="10"/>
        <rFont val="Arial"/>
        <family val="2"/>
      </rPr>
      <t>i</t>
    </r>
    <r>
      <rPr>
        <vertAlign val="subscript"/>
        <sz val="12"/>
        <color indexed="10"/>
        <rFont val="Arial"/>
        <family val="2"/>
      </rPr>
      <t>P_XCB</t>
    </r>
  </si>
  <si>
    <r>
      <t>1-</t>
    </r>
    <r>
      <rPr>
        <i/>
        <sz val="12"/>
        <color indexed="8"/>
        <rFont val="Arial"/>
        <family val="2"/>
      </rPr>
      <t>f</t>
    </r>
    <r>
      <rPr>
        <vertAlign val="subscript"/>
        <sz val="12"/>
        <color indexed="8"/>
        <rFont val="Arial"/>
        <family val="2"/>
      </rPr>
      <t>XU_PAO,lys</t>
    </r>
    <r>
      <rPr>
        <sz val="12"/>
        <color indexed="8"/>
        <rFont val="Arial"/>
        <family val="2"/>
      </rPr>
      <t>-</t>
    </r>
    <r>
      <rPr>
        <i/>
        <sz val="12"/>
        <color indexed="8"/>
        <rFont val="Arial"/>
        <family val="2"/>
      </rPr>
      <t>f</t>
    </r>
    <r>
      <rPr>
        <vertAlign val="subscript"/>
        <sz val="12"/>
        <color indexed="8"/>
        <rFont val="Arial"/>
        <family val="2"/>
      </rPr>
      <t>SU_PAO,lys</t>
    </r>
  </si>
  <si>
    <r>
      <t>m</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PAO</t>
    </r>
  </si>
  <si>
    <r>
      <t>X</t>
    </r>
    <r>
      <rPr>
        <b/>
        <vertAlign val="subscript"/>
        <sz val="10"/>
        <color indexed="8"/>
        <rFont val="Arial"/>
        <family val="2"/>
      </rPr>
      <t xml:space="preserve">PAO,PP </t>
    </r>
    <r>
      <rPr>
        <b/>
        <sz val="10"/>
        <color indexed="8"/>
        <rFont val="Arial"/>
        <family val="2"/>
      </rPr>
      <t>lysis on anaerobic decay</t>
    </r>
  </si>
  <si>
    <r>
      <t>m</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</si>
  <si>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X</t>
    </r>
    <r>
      <rPr>
        <b/>
        <vertAlign val="subscript"/>
        <sz val="10"/>
        <color indexed="8"/>
        <rFont val="Arial"/>
        <family val="2"/>
      </rPr>
      <t xml:space="preserve">PAO,PHA </t>
    </r>
    <r>
      <rPr>
        <b/>
        <sz val="10"/>
        <color indexed="8"/>
        <rFont val="Arial"/>
        <family val="2"/>
      </rPr>
      <t>lysis on anaerobic decay</t>
    </r>
  </si>
  <si>
    <r>
      <t>m</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NHx</t>
    </r>
    <r>
      <rPr>
        <sz val="12"/>
        <color indexed="10"/>
        <rFont val="Arial"/>
        <family val="2"/>
      </rPr>
      <t>/(</t>
    </r>
    <r>
      <rPr>
        <i/>
        <sz val="12"/>
        <color indexed="10"/>
        <rFont val="Arial"/>
        <family val="2"/>
      </rPr>
      <t>K</t>
    </r>
    <r>
      <rPr>
        <vertAlign val="subscript"/>
        <sz val="12"/>
        <color indexed="10"/>
        <rFont val="Arial"/>
        <family val="2"/>
      </rPr>
      <t>NHx,PAO</t>
    </r>
    <r>
      <rPr>
        <sz val="12"/>
        <color indexed="10"/>
        <rFont val="Arial"/>
        <family val="2"/>
      </rPr>
      <t>+</t>
    </r>
    <r>
      <rPr>
        <i/>
        <sz val="12"/>
        <color indexed="10"/>
        <rFont val="Arial"/>
        <family val="2"/>
      </rPr>
      <t>S</t>
    </r>
    <r>
      <rPr>
        <vertAlign val="subscript"/>
        <sz val="12"/>
        <color indexed="10"/>
        <rFont val="Arial"/>
        <family val="2"/>
      </rPr>
      <t>NHx</t>
    </r>
    <r>
      <rPr>
        <sz val="12"/>
        <color indexed="10"/>
        <rFont val="Arial"/>
        <family val="2"/>
      </rPr>
      <t>)]</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PO4</t>
    </r>
    <r>
      <rPr>
        <sz val="12"/>
        <color indexed="10"/>
        <rFont val="Arial"/>
        <family val="2"/>
      </rPr>
      <t>/(</t>
    </r>
    <r>
      <rPr>
        <i/>
        <sz val="12"/>
        <color indexed="10"/>
        <rFont val="Arial"/>
        <family val="2"/>
      </rPr>
      <t>K</t>
    </r>
    <r>
      <rPr>
        <vertAlign val="subscript"/>
        <sz val="12"/>
        <color indexed="10"/>
        <rFont val="Arial"/>
        <family val="2"/>
      </rPr>
      <t>PO4,PAO,lys</t>
    </r>
    <r>
      <rPr>
        <sz val="12"/>
        <color indexed="10"/>
        <rFont val="Arial"/>
        <family val="2"/>
      </rPr>
      <t>+</t>
    </r>
    <r>
      <rPr>
        <i/>
        <sz val="12"/>
        <color indexed="10"/>
        <rFont val="Arial"/>
        <family val="2"/>
      </rPr>
      <t>S</t>
    </r>
    <r>
      <rPr>
        <vertAlign val="subscript"/>
        <sz val="12"/>
        <color indexed="10"/>
        <rFont val="Arial"/>
        <family val="2"/>
      </rPr>
      <t>PO4</t>
    </r>
    <r>
      <rPr>
        <sz val="12"/>
        <color indexed="10"/>
        <rFont val="Arial"/>
        <family val="2"/>
      </rPr>
      <t>)]</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</si>
  <si>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Cleavage of X</t>
    </r>
    <r>
      <rPr>
        <b/>
        <vertAlign val="subscript"/>
        <sz val="10"/>
        <color indexed="8"/>
        <rFont val="Arial"/>
        <family val="2"/>
      </rPr>
      <t>PAO,PP</t>
    </r>
    <r>
      <rPr>
        <b/>
        <sz val="10"/>
        <color indexed="8"/>
        <rFont val="Arial"/>
        <family val="2"/>
      </rPr>
      <t xml:space="preserve"> for anoxic maintenance</t>
    </r>
  </si>
  <si>
    <r>
      <t>b</t>
    </r>
    <r>
      <rPr>
        <vertAlign val="subscript"/>
        <sz val="12"/>
        <color indexed="8"/>
        <rFont val="Arial"/>
        <family val="2"/>
      </rPr>
      <t>PP_PO4</t>
    </r>
    <r>
      <rPr>
        <sz val="12"/>
        <color indexed="8"/>
        <rFont val="Arial"/>
        <family val="2"/>
      </rPr>
      <t>*(1-</t>
    </r>
    <r>
      <rPr>
        <i/>
        <sz val="12"/>
        <color indexed="8"/>
        <rFont val="Arial"/>
        <family val="2"/>
      </rPr>
      <t>n</t>
    </r>
    <r>
      <rPr>
        <vertAlign val="subscript"/>
        <sz val="12"/>
        <color indexed="8"/>
        <rFont val="Arial"/>
        <family val="2"/>
      </rPr>
      <t>μPAO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K</t>
    </r>
    <r>
      <rPr>
        <vertAlign val="subscript"/>
        <sz val="12"/>
        <color indexed="8"/>
        <rFont val="Arial"/>
        <family val="2"/>
      </rPr>
      <t>PP,PAO</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X</t>
    </r>
    <r>
      <rPr>
        <vertAlign val="subscript"/>
        <sz val="12"/>
        <color indexed="8"/>
        <rFont val="Arial"/>
        <family val="2"/>
      </rPr>
      <t>PAO</t>
    </r>
  </si>
  <si>
    <r>
      <t>Cleavage of X</t>
    </r>
    <r>
      <rPr>
        <b/>
        <vertAlign val="subscript"/>
        <sz val="10"/>
        <color indexed="8"/>
        <rFont val="Arial"/>
        <family val="2"/>
      </rPr>
      <t>PAO,PP</t>
    </r>
    <r>
      <rPr>
        <b/>
        <sz val="10"/>
        <color indexed="8"/>
        <rFont val="Arial"/>
        <family val="2"/>
      </rPr>
      <t xml:space="preserve"> for anaerobic maintenance</t>
    </r>
  </si>
  <si>
    <r>
      <t>b</t>
    </r>
    <r>
      <rPr>
        <vertAlign val="subscript"/>
        <sz val="12"/>
        <color indexed="8"/>
        <rFont val="Arial"/>
        <family val="2"/>
      </rPr>
      <t>PP_PO4</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K</t>
    </r>
    <r>
      <rPr>
        <vertAlign val="subscript"/>
        <sz val="12"/>
        <color indexed="8"/>
        <rFont val="Arial"/>
        <family val="2"/>
      </rPr>
      <t>PP,PAO</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X</t>
    </r>
    <r>
      <rPr>
        <vertAlign val="subscript"/>
        <sz val="12"/>
        <color indexed="8"/>
        <rFont val="Arial"/>
        <family val="2"/>
      </rPr>
      <t>PAO</t>
    </r>
  </si>
  <si>
    <r>
      <t>q</t>
    </r>
    <r>
      <rPr>
        <vertAlign val="subscript"/>
        <sz val="12"/>
        <color indexed="8"/>
        <rFont val="Arial"/>
        <family val="2"/>
      </rPr>
      <t>PAO,Ac_PHA</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K</t>
    </r>
    <r>
      <rPr>
        <i/>
        <vertAlign val="subscript"/>
        <sz val="12"/>
        <color indexed="8"/>
        <rFont val="Arial"/>
        <family val="2"/>
      </rPr>
      <t>Ac,PAO</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K</t>
    </r>
    <r>
      <rPr>
        <vertAlign val="subscript"/>
        <sz val="12"/>
        <color indexed="8"/>
        <rFont val="Arial"/>
        <family val="2"/>
      </rPr>
      <t>PP,PAO</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X</t>
    </r>
    <r>
      <rPr>
        <vertAlign val="subscript"/>
        <sz val="12"/>
        <color indexed="8"/>
        <rFont val="Arial"/>
        <family val="2"/>
      </rPr>
      <t>PAO</t>
    </r>
  </si>
  <si>
    <r>
      <t>S</t>
    </r>
    <r>
      <rPr>
        <b/>
        <vertAlign val="subscript"/>
        <sz val="8"/>
        <color indexed="8"/>
        <rFont val="Arial"/>
        <family val="2"/>
      </rPr>
      <t>O2</t>
    </r>
  </si>
  <si>
    <r>
      <t>S</t>
    </r>
    <r>
      <rPr>
        <b/>
        <vertAlign val="subscript"/>
        <sz val="8"/>
        <color indexed="8"/>
        <rFont val="Arial"/>
        <family val="2"/>
      </rPr>
      <t>A</t>
    </r>
  </si>
  <si>
    <r>
      <t>S</t>
    </r>
    <r>
      <rPr>
        <b/>
        <vertAlign val="subscript"/>
        <sz val="8"/>
        <color indexed="8"/>
        <rFont val="Arial"/>
        <family val="2"/>
      </rPr>
      <t>F</t>
    </r>
  </si>
  <si>
    <r>
      <t>S</t>
    </r>
    <r>
      <rPr>
        <b/>
        <vertAlign val="subscript"/>
        <sz val="8"/>
        <color indexed="8"/>
        <rFont val="Arial"/>
        <family val="2"/>
      </rPr>
      <t>NH4</t>
    </r>
  </si>
  <si>
    <r>
      <t>S</t>
    </r>
    <r>
      <rPr>
        <b/>
        <vertAlign val="subscript"/>
        <sz val="8"/>
        <color indexed="8"/>
        <rFont val="Arial"/>
        <family val="2"/>
      </rPr>
      <t>NO3</t>
    </r>
  </si>
  <si>
    <r>
      <t>S</t>
    </r>
    <r>
      <rPr>
        <b/>
        <vertAlign val="subscript"/>
        <sz val="8"/>
        <color indexed="8"/>
        <rFont val="Arial"/>
        <family val="2"/>
      </rPr>
      <t>PO4</t>
    </r>
  </si>
  <si>
    <r>
      <t>S</t>
    </r>
    <r>
      <rPr>
        <b/>
        <vertAlign val="subscript"/>
        <sz val="8"/>
        <color indexed="8"/>
        <rFont val="Arial"/>
        <family val="2"/>
      </rPr>
      <t>I</t>
    </r>
  </si>
  <si>
    <r>
      <t>X</t>
    </r>
    <r>
      <rPr>
        <b/>
        <vertAlign val="subscript"/>
        <sz val="8"/>
        <color indexed="8"/>
        <rFont val="Arial"/>
        <family val="2"/>
      </rPr>
      <t>E</t>
    </r>
  </si>
  <si>
    <r>
      <t>X</t>
    </r>
    <r>
      <rPr>
        <b/>
        <vertAlign val="subscript"/>
        <sz val="8"/>
        <color indexed="8"/>
        <rFont val="Arial"/>
        <family val="2"/>
      </rPr>
      <t>I</t>
    </r>
  </si>
  <si>
    <r>
      <t>X</t>
    </r>
    <r>
      <rPr>
        <b/>
        <vertAlign val="subscript"/>
        <sz val="8"/>
        <color indexed="8"/>
        <rFont val="Arial"/>
        <family val="2"/>
      </rPr>
      <t>ads</t>
    </r>
  </si>
  <si>
    <r>
      <t>X</t>
    </r>
    <r>
      <rPr>
        <b/>
        <vertAlign val="subscript"/>
        <sz val="8"/>
        <color indexed="8"/>
        <rFont val="Arial"/>
        <family val="2"/>
      </rPr>
      <t>ENM</t>
    </r>
  </si>
  <si>
    <r>
      <t>X</t>
    </r>
    <r>
      <rPr>
        <b/>
        <vertAlign val="subscript"/>
        <sz val="8"/>
        <color indexed="8"/>
        <rFont val="Arial"/>
        <family val="2"/>
      </rPr>
      <t>H</t>
    </r>
  </si>
  <si>
    <r>
      <t>X</t>
    </r>
    <r>
      <rPr>
        <b/>
        <vertAlign val="subscript"/>
        <sz val="8"/>
        <color indexed="8"/>
        <rFont val="Arial"/>
        <family val="2"/>
      </rPr>
      <t>PAO</t>
    </r>
  </si>
  <si>
    <r>
      <t>X</t>
    </r>
    <r>
      <rPr>
        <b/>
        <vertAlign val="subscript"/>
        <sz val="8"/>
        <color indexed="8"/>
        <rFont val="Arial"/>
        <family val="2"/>
      </rPr>
      <t>PP</t>
    </r>
  </si>
  <si>
    <r>
      <t>X</t>
    </r>
    <r>
      <rPr>
        <b/>
        <vertAlign val="subscript"/>
        <sz val="8"/>
        <color indexed="8"/>
        <rFont val="Arial"/>
        <family val="2"/>
      </rPr>
      <t>PHA</t>
    </r>
  </si>
  <si>
    <r>
      <t>X</t>
    </r>
    <r>
      <rPr>
        <b/>
        <vertAlign val="subscript"/>
        <sz val="8"/>
        <color indexed="8"/>
        <rFont val="Arial"/>
        <family val="2"/>
      </rPr>
      <t>NIT</t>
    </r>
  </si>
  <si>
    <r>
      <t>S</t>
    </r>
    <r>
      <rPr>
        <b/>
        <vertAlign val="subscript"/>
        <sz val="8"/>
        <color indexed="8"/>
        <rFont val="Arial"/>
        <family val="2"/>
      </rPr>
      <t>N2</t>
    </r>
  </si>
  <si>
    <r>
      <t>μ</t>
    </r>
    <r>
      <rPr>
        <vertAlign val="subscript"/>
        <sz val="12"/>
        <color indexed="8"/>
        <rFont val="Arial"/>
        <family val="2"/>
      </rPr>
      <t>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BSC</t>
    </r>
    <r>
      <rPr>
        <sz val="12"/>
        <color indexed="8"/>
        <rFont val="Arial"/>
        <family val="2"/>
      </rPr>
      <t>/(</t>
    </r>
    <r>
      <rPr>
        <i/>
        <sz val="12"/>
        <color indexed="8"/>
        <rFont val="Arial"/>
        <family val="2"/>
      </rPr>
      <t>K</t>
    </r>
    <r>
      <rPr>
        <vertAlign val="subscript"/>
        <sz val="12"/>
        <color indexed="8"/>
        <rFont val="Arial"/>
        <family val="2"/>
      </rPr>
      <t>S,H</t>
    </r>
    <r>
      <rPr>
        <sz val="12"/>
        <color indexed="8"/>
        <rFont val="Arial"/>
        <family val="2"/>
      </rPr>
      <t>+</t>
    </r>
    <r>
      <rPr>
        <i/>
        <sz val="12"/>
        <color indexed="8"/>
        <rFont val="Arial"/>
        <family val="2"/>
      </rPr>
      <t>S</t>
    </r>
    <r>
      <rPr>
        <vertAlign val="subscript"/>
        <sz val="12"/>
        <color indexed="8"/>
        <rFont val="Arial"/>
        <family val="2"/>
      </rPr>
      <t>BSC</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BSC</t>
    </r>
    <r>
      <rPr>
        <sz val="12"/>
        <color indexed="10"/>
        <rFont val="Arial"/>
        <family val="2"/>
      </rPr>
      <t>/(</t>
    </r>
    <r>
      <rPr>
        <i/>
        <sz val="12"/>
        <color indexed="10"/>
        <rFont val="Arial"/>
        <family val="2"/>
      </rPr>
      <t>S</t>
    </r>
    <r>
      <rPr>
        <vertAlign val="subscript"/>
        <sz val="12"/>
        <color indexed="10"/>
        <rFont val="Arial"/>
        <family val="2"/>
      </rPr>
      <t>BSC</t>
    </r>
    <r>
      <rPr>
        <sz val="12"/>
        <color indexed="10"/>
        <rFont val="Arial"/>
        <family val="2"/>
      </rPr>
      <t>+</t>
    </r>
    <r>
      <rPr>
        <i/>
        <sz val="12"/>
        <color indexed="10"/>
        <rFont val="Arial"/>
        <family val="2"/>
      </rPr>
      <t>S</t>
    </r>
    <r>
      <rPr>
        <vertAlign val="subscript"/>
        <sz val="12"/>
        <color indexed="10"/>
        <rFont val="Arial"/>
        <family val="2"/>
      </rPr>
      <t>BSA</t>
    </r>
    <r>
      <rPr>
        <sz val="12"/>
        <color indexed="10"/>
        <rFont val="Arial"/>
        <family val="2"/>
      </rPr>
      <t>)]</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K</t>
    </r>
    <r>
      <rPr>
        <vertAlign val="subscript"/>
        <sz val="12"/>
        <color indexed="8"/>
        <rFont val="Arial"/>
        <family val="2"/>
      </rPr>
      <t>NA</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K</t>
    </r>
    <r>
      <rPr>
        <vertAlign val="subscript"/>
        <sz val="12"/>
        <color indexed="8"/>
        <rFont val="Arial"/>
        <family val="2"/>
      </rPr>
      <t>LP,GRO</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Z</t>
    </r>
    <r>
      <rPr>
        <vertAlign val="subscript"/>
        <sz val="12"/>
        <color indexed="8"/>
        <rFont val="Arial"/>
        <family val="2"/>
      </rPr>
      <t>H</t>
    </r>
  </si>
  <si>
    <r>
      <t>Anoxic growth of Z</t>
    </r>
    <r>
      <rPr>
        <b/>
        <vertAlign val="subscript"/>
        <sz val="10"/>
        <color indexed="8"/>
        <rFont val="Arial"/>
        <family val="2"/>
      </rPr>
      <t>H</t>
    </r>
    <r>
      <rPr>
        <b/>
        <sz val="10"/>
        <color indexed="8"/>
        <rFont val="Arial"/>
        <family val="2"/>
      </rPr>
      <t xml:space="preserve"> on S</t>
    </r>
    <r>
      <rPr>
        <b/>
        <vertAlign val="subscript"/>
        <sz val="10"/>
        <color indexed="8"/>
        <rFont val="Arial"/>
        <family val="2"/>
      </rPr>
      <t>BSC</t>
    </r>
    <r>
      <rPr>
        <b/>
        <sz val="10"/>
        <color indexed="8"/>
        <rFont val="Arial"/>
        <family val="2"/>
      </rPr>
      <t xml:space="preserve"> with N</t>
    </r>
    <r>
      <rPr>
        <b/>
        <vertAlign val="subscript"/>
        <sz val="10"/>
        <color indexed="8"/>
        <rFont val="Arial"/>
        <family val="2"/>
      </rPr>
      <t>H3</t>
    </r>
  </si>
  <si>
    <r>
      <t>-1/</t>
    </r>
    <r>
      <rPr>
        <i/>
        <sz val="12"/>
        <color indexed="8"/>
        <rFont val="Arial"/>
        <family val="2"/>
      </rPr>
      <t>Y</t>
    </r>
    <r>
      <rPr>
        <vertAlign val="subscript"/>
        <sz val="12"/>
        <color indexed="8"/>
        <rFont val="Arial"/>
        <family val="2"/>
      </rPr>
      <t>H,ANOX</t>
    </r>
  </si>
  <si>
    <r>
      <t>-(1-</t>
    </r>
    <r>
      <rPr>
        <i/>
        <sz val="12"/>
        <color indexed="8"/>
        <rFont val="Arial"/>
        <family val="2"/>
      </rPr>
      <t>Y</t>
    </r>
    <r>
      <rPr>
        <vertAlign val="subscript"/>
        <sz val="12"/>
        <color indexed="8"/>
        <rFont val="Arial"/>
        <family val="2"/>
      </rPr>
      <t>H,ANOX</t>
    </r>
    <r>
      <rPr>
        <sz val="12"/>
        <color indexed="8"/>
        <rFont val="Arial"/>
        <family val="2"/>
      </rPr>
      <t>)/(</t>
    </r>
    <r>
      <rPr>
        <i/>
        <sz val="12"/>
        <color indexed="8"/>
        <rFont val="Arial"/>
        <family val="2"/>
      </rPr>
      <t>i</t>
    </r>
    <r>
      <rPr>
        <vertAlign val="subscript"/>
        <sz val="12"/>
        <color indexed="8"/>
        <rFont val="Arial"/>
        <family val="2"/>
      </rPr>
      <t>NOx,N2</t>
    </r>
    <r>
      <rPr>
        <sz val="12"/>
        <color indexed="8"/>
        <rFont val="Arial"/>
        <family val="2"/>
      </rPr>
      <t>*</t>
    </r>
    <r>
      <rPr>
        <i/>
        <sz val="12"/>
        <color indexed="8"/>
        <rFont val="Arial"/>
        <family val="2"/>
      </rPr>
      <t>Y</t>
    </r>
    <r>
      <rPr>
        <vertAlign val="subscript"/>
        <sz val="12"/>
        <color indexed="8"/>
        <rFont val="Arial"/>
        <family val="2"/>
      </rPr>
      <t>H,ANOX</t>
    </r>
    <r>
      <rPr>
        <sz val="12"/>
        <color indexed="8"/>
        <rFont val="Arial"/>
        <family val="2"/>
      </rPr>
      <t>)</t>
    </r>
  </si>
  <si>
    <r>
      <t>(1-</t>
    </r>
    <r>
      <rPr>
        <i/>
        <sz val="12"/>
        <color indexed="10"/>
        <rFont val="Arial"/>
        <family val="2"/>
      </rPr>
      <t>Y</t>
    </r>
    <r>
      <rPr>
        <vertAlign val="subscript"/>
        <sz val="12"/>
        <color indexed="10"/>
        <rFont val="Arial"/>
        <family val="2"/>
      </rPr>
      <t>H,ANOX</t>
    </r>
    <r>
      <rPr>
        <sz val="12"/>
        <color indexed="10"/>
        <rFont val="Arial"/>
        <family val="2"/>
      </rPr>
      <t>)/(</t>
    </r>
    <r>
      <rPr>
        <i/>
        <sz val="12"/>
        <color indexed="10"/>
        <rFont val="Arial"/>
        <family val="2"/>
      </rPr>
      <t>i</t>
    </r>
    <r>
      <rPr>
        <vertAlign val="subscript"/>
        <sz val="12"/>
        <color indexed="10"/>
        <rFont val="Arial"/>
        <family val="2"/>
      </rPr>
      <t>NOx,N2</t>
    </r>
    <r>
      <rPr>
        <sz val="12"/>
        <color indexed="10"/>
        <rFont val="Arial"/>
        <family val="2"/>
      </rPr>
      <t>*</t>
    </r>
    <r>
      <rPr>
        <i/>
        <sz val="12"/>
        <color indexed="10"/>
        <rFont val="Arial"/>
        <family val="2"/>
      </rPr>
      <t>Y</t>
    </r>
    <r>
      <rPr>
        <vertAlign val="subscript"/>
        <sz val="12"/>
        <color indexed="10"/>
        <rFont val="Arial"/>
        <family val="2"/>
      </rPr>
      <t>H,ANOX</t>
    </r>
    <r>
      <rPr>
        <sz val="12"/>
        <color indexed="10"/>
        <rFont val="Arial"/>
        <family val="2"/>
      </rPr>
      <t>)</t>
    </r>
  </si>
  <si>
    <r>
      <t>μ</t>
    </r>
    <r>
      <rPr>
        <vertAlign val="subscript"/>
        <sz val="12"/>
        <color indexed="8"/>
        <rFont val="Arial"/>
        <family val="2"/>
      </rPr>
      <t>H</t>
    </r>
    <r>
      <rPr>
        <sz val="12"/>
        <color indexed="8"/>
        <rFont val="Arial"/>
        <family val="2"/>
      </rPr>
      <t>*</t>
    </r>
    <r>
      <rPr>
        <i/>
        <sz val="12"/>
        <color indexed="8"/>
        <rFont val="Arial"/>
        <family val="2"/>
      </rPr>
      <t>η</t>
    </r>
    <r>
      <rPr>
        <vertAlign val="subscript"/>
        <sz val="12"/>
        <color indexed="8"/>
        <rFont val="Arial"/>
        <family val="2"/>
      </rPr>
      <t>GRO</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BSC</t>
    </r>
    <r>
      <rPr>
        <sz val="12"/>
        <color indexed="8"/>
        <rFont val="Arial"/>
        <family val="2"/>
      </rPr>
      <t>/(</t>
    </r>
    <r>
      <rPr>
        <i/>
        <sz val="12"/>
        <color indexed="8"/>
        <rFont val="Arial"/>
        <family val="2"/>
      </rPr>
      <t>K</t>
    </r>
    <r>
      <rPr>
        <vertAlign val="subscript"/>
        <sz val="12"/>
        <color indexed="8"/>
        <rFont val="Arial"/>
        <family val="2"/>
      </rPr>
      <t>S,H</t>
    </r>
    <r>
      <rPr>
        <sz val="12"/>
        <color indexed="8"/>
        <rFont val="Arial"/>
        <family val="2"/>
      </rPr>
      <t>+</t>
    </r>
    <r>
      <rPr>
        <i/>
        <sz val="12"/>
        <color indexed="8"/>
        <rFont val="Arial"/>
        <family val="2"/>
      </rPr>
      <t>S</t>
    </r>
    <r>
      <rPr>
        <vertAlign val="subscript"/>
        <sz val="12"/>
        <color indexed="8"/>
        <rFont val="Arial"/>
        <family val="2"/>
      </rPr>
      <t>BSC</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BSC</t>
    </r>
    <r>
      <rPr>
        <sz val="12"/>
        <color indexed="10"/>
        <rFont val="Arial"/>
        <family val="2"/>
      </rPr>
      <t>/(</t>
    </r>
    <r>
      <rPr>
        <i/>
        <sz val="12"/>
        <color indexed="10"/>
        <rFont val="Arial"/>
        <family val="2"/>
      </rPr>
      <t>S</t>
    </r>
    <r>
      <rPr>
        <vertAlign val="subscript"/>
        <sz val="12"/>
        <color indexed="10"/>
        <rFont val="Arial"/>
        <family val="2"/>
      </rPr>
      <t>BSC</t>
    </r>
    <r>
      <rPr>
        <sz val="12"/>
        <color indexed="10"/>
        <rFont val="Arial"/>
        <family val="2"/>
      </rPr>
      <t>+</t>
    </r>
    <r>
      <rPr>
        <i/>
        <sz val="12"/>
        <color indexed="10"/>
        <rFont val="Arial"/>
        <family val="2"/>
      </rPr>
      <t>S</t>
    </r>
    <r>
      <rPr>
        <vertAlign val="subscript"/>
        <sz val="12"/>
        <color indexed="10"/>
        <rFont val="Arial"/>
        <family val="2"/>
      </rPr>
      <t>BSA</t>
    </r>
    <r>
      <rPr>
        <sz val="12"/>
        <color indexed="10"/>
        <rFont val="Arial"/>
        <family val="2"/>
      </rPr>
      <t>)]</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K</t>
    </r>
    <r>
      <rPr>
        <vertAlign val="subscript"/>
        <sz val="12"/>
        <color indexed="8"/>
        <rFont val="Arial"/>
        <family val="2"/>
      </rPr>
      <t>NA</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K</t>
    </r>
    <r>
      <rPr>
        <vertAlign val="subscript"/>
        <sz val="12"/>
        <color indexed="8"/>
        <rFont val="Arial"/>
        <family val="2"/>
      </rPr>
      <t>LP,GRO</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Z</t>
    </r>
    <r>
      <rPr>
        <vertAlign val="subscript"/>
        <sz val="12"/>
        <color indexed="8"/>
        <rFont val="Arial"/>
        <family val="2"/>
      </rPr>
      <t>H</t>
    </r>
  </si>
  <si>
    <r>
      <t>Aerobic growth of Z</t>
    </r>
    <r>
      <rPr>
        <b/>
        <vertAlign val="subscript"/>
        <sz val="10"/>
        <color indexed="8"/>
        <rFont val="Arial"/>
        <family val="2"/>
      </rPr>
      <t>H</t>
    </r>
    <r>
      <rPr>
        <b/>
        <sz val="10"/>
        <color indexed="8"/>
        <rFont val="Arial"/>
        <family val="2"/>
      </rPr>
      <t xml:space="preserve"> on S</t>
    </r>
    <r>
      <rPr>
        <b/>
        <vertAlign val="subscript"/>
        <sz val="10"/>
        <color indexed="8"/>
        <rFont val="Arial"/>
        <family val="2"/>
      </rPr>
      <t>BSC</t>
    </r>
    <r>
      <rPr>
        <b/>
        <sz val="10"/>
        <color indexed="8"/>
        <rFont val="Arial"/>
        <family val="2"/>
      </rPr>
      <t xml:space="preserve"> with N</t>
    </r>
    <r>
      <rPr>
        <b/>
        <vertAlign val="subscript"/>
        <sz val="10"/>
        <color indexed="8"/>
        <rFont val="Arial"/>
        <family val="2"/>
      </rPr>
      <t>O3</t>
    </r>
  </si>
  <si>
    <r>
      <t>-(1-</t>
    </r>
    <r>
      <rPr>
        <i/>
        <sz val="12"/>
        <color indexed="8"/>
        <rFont val="Arial"/>
        <family val="2"/>
      </rPr>
      <t>Y</t>
    </r>
    <r>
      <rPr>
        <vertAlign val="subscript"/>
        <sz val="12"/>
        <color indexed="8"/>
        <rFont val="Arial"/>
        <family val="2"/>
      </rPr>
      <t>H,AER</t>
    </r>
    <r>
      <rPr>
        <sz val="12"/>
        <color indexed="8"/>
        <rFont val="Arial"/>
        <family val="2"/>
      </rPr>
      <t>)/</t>
    </r>
    <r>
      <rPr>
        <i/>
        <sz val="12"/>
        <color indexed="8"/>
        <rFont val="Arial"/>
        <family val="2"/>
      </rPr>
      <t>Y</t>
    </r>
    <r>
      <rPr>
        <vertAlign val="subscript"/>
        <sz val="12"/>
        <color indexed="8"/>
        <rFont val="Arial"/>
        <family val="2"/>
      </rPr>
      <t>H,AER</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f</t>
    </r>
    <r>
      <rPr>
        <vertAlign val="subscript"/>
        <sz val="12"/>
        <color indexed="10"/>
        <rFont val="Arial"/>
        <family val="2"/>
      </rPr>
      <t>N,ZH</t>
    </r>
  </si>
  <si>
    <r>
      <t>μ</t>
    </r>
    <r>
      <rPr>
        <vertAlign val="subscript"/>
        <sz val="12"/>
        <color indexed="8"/>
        <rFont val="Arial"/>
        <family val="2"/>
      </rPr>
      <t>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BSC</t>
    </r>
    <r>
      <rPr>
        <sz val="12"/>
        <color indexed="8"/>
        <rFont val="Arial"/>
        <family val="2"/>
      </rPr>
      <t>/(</t>
    </r>
    <r>
      <rPr>
        <i/>
        <sz val="12"/>
        <color indexed="8"/>
        <rFont val="Arial"/>
        <family val="2"/>
      </rPr>
      <t>K</t>
    </r>
    <r>
      <rPr>
        <vertAlign val="subscript"/>
        <sz val="12"/>
        <color indexed="8"/>
        <rFont val="Arial"/>
        <family val="2"/>
      </rPr>
      <t>S,H</t>
    </r>
    <r>
      <rPr>
        <sz val="12"/>
        <color indexed="8"/>
        <rFont val="Arial"/>
        <family val="2"/>
      </rPr>
      <t>+</t>
    </r>
    <r>
      <rPr>
        <i/>
        <sz val="12"/>
        <color indexed="8"/>
        <rFont val="Arial"/>
        <family val="2"/>
      </rPr>
      <t>S</t>
    </r>
    <r>
      <rPr>
        <vertAlign val="subscript"/>
        <sz val="12"/>
        <color indexed="8"/>
        <rFont val="Arial"/>
        <family val="2"/>
      </rPr>
      <t>BSC</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BSC</t>
    </r>
    <r>
      <rPr>
        <sz val="12"/>
        <color indexed="10"/>
        <rFont val="Arial"/>
        <family val="2"/>
      </rPr>
      <t>/(</t>
    </r>
    <r>
      <rPr>
        <i/>
        <sz val="12"/>
        <color indexed="10"/>
        <rFont val="Arial"/>
        <family val="2"/>
      </rPr>
      <t>S</t>
    </r>
    <r>
      <rPr>
        <vertAlign val="subscript"/>
        <sz val="12"/>
        <color indexed="10"/>
        <rFont val="Arial"/>
        <family val="2"/>
      </rPr>
      <t>BSC</t>
    </r>
    <r>
      <rPr>
        <sz val="12"/>
        <color indexed="10"/>
        <rFont val="Arial"/>
        <family val="2"/>
      </rPr>
      <t>+</t>
    </r>
    <r>
      <rPr>
        <i/>
        <sz val="12"/>
        <color indexed="10"/>
        <rFont val="Arial"/>
        <family val="2"/>
      </rPr>
      <t>S</t>
    </r>
    <r>
      <rPr>
        <vertAlign val="subscript"/>
        <sz val="12"/>
        <color indexed="10"/>
        <rFont val="Arial"/>
        <family val="2"/>
      </rPr>
      <t>BSA</t>
    </r>
    <r>
      <rPr>
        <sz val="12"/>
        <color indexed="10"/>
        <rFont val="Arial"/>
        <family val="2"/>
      </rPr>
      <t>)]</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NA</t>
    </r>
    <r>
      <rPr>
        <sz val="12"/>
        <color indexed="8"/>
        <rFont val="Arial"/>
        <family val="2"/>
      </rPr>
      <t>/(</t>
    </r>
    <r>
      <rPr>
        <i/>
        <sz val="12"/>
        <color indexed="8"/>
        <rFont val="Arial"/>
        <family val="2"/>
      </rPr>
      <t>K</t>
    </r>
    <r>
      <rPr>
        <vertAlign val="subscript"/>
        <sz val="12"/>
        <color indexed="8"/>
        <rFont val="Arial"/>
        <family val="2"/>
      </rPr>
      <t>NA</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K</t>
    </r>
    <r>
      <rPr>
        <vertAlign val="subscript"/>
        <sz val="12"/>
        <color indexed="8"/>
        <rFont val="Arial"/>
        <family val="2"/>
      </rPr>
      <t>LP,GRO</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Z</t>
    </r>
    <r>
      <rPr>
        <vertAlign val="subscript"/>
        <sz val="12"/>
        <color indexed="8"/>
        <rFont val="Arial"/>
        <family val="2"/>
      </rPr>
      <t>H</t>
    </r>
  </si>
  <si>
    <r>
      <t>Anoxic growth of Z</t>
    </r>
    <r>
      <rPr>
        <b/>
        <vertAlign val="subscript"/>
        <sz val="10"/>
        <color indexed="8"/>
        <rFont val="Arial"/>
        <family val="2"/>
      </rPr>
      <t>H</t>
    </r>
    <r>
      <rPr>
        <b/>
        <sz val="10"/>
        <color indexed="8"/>
        <rFont val="Arial"/>
        <family val="2"/>
      </rPr>
      <t xml:space="preserve"> on S</t>
    </r>
    <r>
      <rPr>
        <b/>
        <vertAlign val="subscript"/>
        <sz val="10"/>
        <color indexed="8"/>
        <rFont val="Arial"/>
        <family val="2"/>
      </rPr>
      <t>BSC</t>
    </r>
    <r>
      <rPr>
        <b/>
        <sz val="10"/>
        <color indexed="8"/>
        <rFont val="Arial"/>
        <family val="2"/>
      </rPr>
      <t xml:space="preserve"> with N</t>
    </r>
    <r>
      <rPr>
        <b/>
        <vertAlign val="subscript"/>
        <sz val="10"/>
        <color indexed="8"/>
        <rFont val="Arial"/>
        <family val="2"/>
      </rPr>
      <t>O3</t>
    </r>
  </si>
  <si>
    <r>
      <t>-1/</t>
    </r>
    <r>
      <rPr>
        <i/>
        <sz val="12"/>
        <color indexed="8"/>
        <rFont val="Arial"/>
        <family val="2"/>
      </rPr>
      <t>Y</t>
    </r>
    <r>
      <rPr>
        <vertAlign val="subscript"/>
        <sz val="12"/>
        <color indexed="8"/>
        <rFont val="Arial"/>
        <family val="2"/>
      </rPr>
      <t>H,ANOX</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f</t>
    </r>
    <r>
      <rPr>
        <vertAlign val="subscript"/>
        <sz val="12"/>
        <color indexed="10"/>
        <rFont val="Arial"/>
        <family val="2"/>
      </rPr>
      <t>N,ZH</t>
    </r>
  </si>
  <si>
    <r>
      <t>-</t>
    </r>
    <r>
      <rPr>
        <i/>
        <sz val="12"/>
        <color indexed="8"/>
        <rFont val="Arial"/>
        <family val="2"/>
      </rPr>
      <t>f</t>
    </r>
    <r>
      <rPr>
        <vertAlign val="subscript"/>
        <sz val="12"/>
        <color indexed="8"/>
        <rFont val="Arial"/>
        <family val="2"/>
      </rPr>
      <t>N,ZH</t>
    </r>
    <r>
      <rPr>
        <sz val="12"/>
        <color indexed="8"/>
        <rFont val="Arial"/>
        <family val="2"/>
      </rPr>
      <t>-(1-</t>
    </r>
    <r>
      <rPr>
        <i/>
        <sz val="12"/>
        <color indexed="8"/>
        <rFont val="Arial"/>
        <family val="2"/>
      </rPr>
      <t>Y</t>
    </r>
    <r>
      <rPr>
        <vertAlign val="subscript"/>
        <sz val="12"/>
        <color indexed="8"/>
        <rFont val="Arial"/>
        <family val="2"/>
      </rPr>
      <t>H,ANOX</t>
    </r>
    <r>
      <rPr>
        <sz val="12"/>
        <color indexed="8"/>
        <rFont val="Arial"/>
        <family val="2"/>
      </rPr>
      <t>)/(</t>
    </r>
    <r>
      <rPr>
        <i/>
        <sz val="12"/>
        <color indexed="8"/>
        <rFont val="Arial"/>
        <family val="2"/>
      </rPr>
      <t>i</t>
    </r>
    <r>
      <rPr>
        <vertAlign val="subscript"/>
        <sz val="12"/>
        <color indexed="8"/>
        <rFont val="Arial"/>
        <family val="2"/>
      </rPr>
      <t>NOx,N2</t>
    </r>
    <r>
      <rPr>
        <sz val="12"/>
        <color indexed="8"/>
        <rFont val="Arial"/>
        <family val="2"/>
      </rPr>
      <t>*</t>
    </r>
    <r>
      <rPr>
        <i/>
        <sz val="12"/>
        <color indexed="8"/>
        <rFont val="Arial"/>
        <family val="2"/>
      </rPr>
      <t>Y</t>
    </r>
    <r>
      <rPr>
        <vertAlign val="subscript"/>
        <sz val="12"/>
        <color indexed="8"/>
        <rFont val="Arial"/>
        <family val="2"/>
      </rPr>
      <t>H,ANOX</t>
    </r>
    <r>
      <rPr>
        <sz val="12"/>
        <color indexed="8"/>
        <rFont val="Arial"/>
        <family val="2"/>
      </rPr>
      <t>)</t>
    </r>
  </si>
  <si>
    <r>
      <t>μ</t>
    </r>
    <r>
      <rPr>
        <vertAlign val="subscript"/>
        <sz val="12"/>
        <color indexed="8"/>
        <rFont val="Arial"/>
        <family val="2"/>
      </rPr>
      <t>H</t>
    </r>
    <r>
      <rPr>
        <sz val="12"/>
        <color indexed="8"/>
        <rFont val="Arial"/>
        <family val="2"/>
      </rPr>
      <t>*</t>
    </r>
    <r>
      <rPr>
        <i/>
        <sz val="12"/>
        <color indexed="8"/>
        <rFont val="Arial"/>
        <family val="2"/>
      </rPr>
      <t>η</t>
    </r>
    <r>
      <rPr>
        <vertAlign val="subscript"/>
        <sz val="12"/>
        <color indexed="8"/>
        <rFont val="Arial"/>
        <family val="2"/>
      </rPr>
      <t>GRO</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BSC</t>
    </r>
    <r>
      <rPr>
        <sz val="12"/>
        <color indexed="8"/>
        <rFont val="Arial"/>
        <family val="2"/>
      </rPr>
      <t>/(</t>
    </r>
    <r>
      <rPr>
        <i/>
        <sz val="12"/>
        <color indexed="8"/>
        <rFont val="Arial"/>
        <family val="2"/>
      </rPr>
      <t>K</t>
    </r>
    <r>
      <rPr>
        <vertAlign val="subscript"/>
        <sz val="12"/>
        <color indexed="8"/>
        <rFont val="Arial"/>
        <family val="2"/>
      </rPr>
      <t>S,H</t>
    </r>
    <r>
      <rPr>
        <sz val="12"/>
        <color indexed="8"/>
        <rFont val="Arial"/>
        <family val="2"/>
      </rPr>
      <t>+</t>
    </r>
    <r>
      <rPr>
        <i/>
        <sz val="12"/>
        <color indexed="8"/>
        <rFont val="Arial"/>
        <family val="2"/>
      </rPr>
      <t>S</t>
    </r>
    <r>
      <rPr>
        <vertAlign val="subscript"/>
        <sz val="12"/>
        <color indexed="8"/>
        <rFont val="Arial"/>
        <family val="2"/>
      </rPr>
      <t>BSC</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BSC</t>
    </r>
    <r>
      <rPr>
        <sz val="12"/>
        <color indexed="10"/>
        <rFont val="Arial"/>
        <family val="2"/>
      </rPr>
      <t>/(</t>
    </r>
    <r>
      <rPr>
        <i/>
        <sz val="12"/>
        <color indexed="10"/>
        <rFont val="Arial"/>
        <family val="2"/>
      </rPr>
      <t>S</t>
    </r>
    <r>
      <rPr>
        <vertAlign val="subscript"/>
        <sz val="12"/>
        <color indexed="10"/>
        <rFont val="Arial"/>
        <family val="2"/>
      </rPr>
      <t>BSC</t>
    </r>
    <r>
      <rPr>
        <sz val="12"/>
        <color indexed="10"/>
        <rFont val="Arial"/>
        <family val="2"/>
      </rPr>
      <t>+</t>
    </r>
    <r>
      <rPr>
        <i/>
        <sz val="12"/>
        <color indexed="10"/>
        <rFont val="Arial"/>
        <family val="2"/>
      </rPr>
      <t>S</t>
    </r>
    <r>
      <rPr>
        <vertAlign val="subscript"/>
        <sz val="12"/>
        <color indexed="10"/>
        <rFont val="Arial"/>
        <family val="2"/>
      </rPr>
      <t>BSA</t>
    </r>
    <r>
      <rPr>
        <sz val="12"/>
        <color indexed="10"/>
        <rFont val="Arial"/>
        <family val="2"/>
      </rPr>
      <t>)]</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NA</t>
    </r>
    <r>
      <rPr>
        <sz val="12"/>
        <color indexed="8"/>
        <rFont val="Arial"/>
        <family val="2"/>
      </rPr>
      <t>/(</t>
    </r>
    <r>
      <rPr>
        <i/>
        <sz val="12"/>
        <color indexed="8"/>
        <rFont val="Arial"/>
        <family val="2"/>
      </rPr>
      <t>K</t>
    </r>
    <r>
      <rPr>
        <vertAlign val="subscript"/>
        <sz val="12"/>
        <color indexed="8"/>
        <rFont val="Arial"/>
        <family val="2"/>
      </rPr>
      <t>NA</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K</t>
    </r>
    <r>
      <rPr>
        <vertAlign val="subscript"/>
        <sz val="12"/>
        <color indexed="8"/>
        <rFont val="Arial"/>
        <family val="2"/>
      </rPr>
      <t>LP,GRO</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Z</t>
    </r>
    <r>
      <rPr>
        <vertAlign val="subscript"/>
        <sz val="12"/>
        <color indexed="8"/>
        <rFont val="Arial"/>
        <family val="2"/>
      </rPr>
      <t>H</t>
    </r>
  </si>
  <si>
    <r>
      <t>Aerobic growth of Z</t>
    </r>
    <r>
      <rPr>
        <b/>
        <vertAlign val="subscript"/>
        <sz val="10"/>
        <color indexed="8"/>
        <rFont val="Arial"/>
        <family val="2"/>
      </rPr>
      <t>H</t>
    </r>
    <r>
      <rPr>
        <b/>
        <sz val="10"/>
        <color indexed="8"/>
        <rFont val="Arial"/>
        <family val="2"/>
      </rPr>
      <t xml:space="preserve"> on S</t>
    </r>
    <r>
      <rPr>
        <b/>
        <vertAlign val="subscript"/>
        <sz val="10"/>
        <color indexed="8"/>
        <rFont val="Arial"/>
        <family val="2"/>
      </rPr>
      <t>BSA</t>
    </r>
    <r>
      <rPr>
        <b/>
        <sz val="10"/>
        <color indexed="8"/>
        <rFont val="Arial"/>
        <family val="2"/>
      </rPr>
      <t xml:space="preserve"> with N</t>
    </r>
    <r>
      <rPr>
        <b/>
        <vertAlign val="subscript"/>
        <sz val="10"/>
        <color indexed="8"/>
        <rFont val="Arial"/>
        <family val="2"/>
      </rPr>
      <t>H3</t>
    </r>
  </si>
  <si>
    <r>
      <t>μ</t>
    </r>
    <r>
      <rPr>
        <vertAlign val="subscript"/>
        <sz val="12"/>
        <color indexed="8"/>
        <rFont val="Arial"/>
        <family val="2"/>
      </rPr>
      <t>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BSA</t>
    </r>
    <r>
      <rPr>
        <sz val="12"/>
        <color indexed="8"/>
        <rFont val="Arial"/>
        <family val="2"/>
      </rPr>
      <t>/(</t>
    </r>
    <r>
      <rPr>
        <i/>
        <sz val="12"/>
        <color indexed="8"/>
        <rFont val="Arial"/>
        <family val="2"/>
      </rPr>
      <t>K</t>
    </r>
    <r>
      <rPr>
        <vertAlign val="subscript"/>
        <sz val="12"/>
        <color indexed="8"/>
        <rFont val="Arial"/>
        <family val="2"/>
      </rPr>
      <t>S,H</t>
    </r>
    <r>
      <rPr>
        <sz val="12"/>
        <color indexed="8"/>
        <rFont val="Arial"/>
        <family val="2"/>
      </rPr>
      <t>+</t>
    </r>
    <r>
      <rPr>
        <i/>
        <sz val="12"/>
        <color indexed="8"/>
        <rFont val="Arial"/>
        <family val="2"/>
      </rPr>
      <t>S</t>
    </r>
    <r>
      <rPr>
        <vertAlign val="subscript"/>
        <sz val="12"/>
        <color indexed="8"/>
        <rFont val="Arial"/>
        <family val="2"/>
      </rPr>
      <t>BSA</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BSA</t>
    </r>
    <r>
      <rPr>
        <sz val="12"/>
        <color indexed="10"/>
        <rFont val="Arial"/>
        <family val="2"/>
      </rPr>
      <t>/(</t>
    </r>
    <r>
      <rPr>
        <i/>
        <sz val="12"/>
        <color indexed="10"/>
        <rFont val="Arial"/>
        <family val="2"/>
      </rPr>
      <t>S</t>
    </r>
    <r>
      <rPr>
        <vertAlign val="subscript"/>
        <sz val="12"/>
        <color indexed="10"/>
        <rFont val="Arial"/>
        <family val="2"/>
      </rPr>
      <t>BSC</t>
    </r>
    <r>
      <rPr>
        <sz val="12"/>
        <color indexed="10"/>
        <rFont val="Arial"/>
        <family val="2"/>
      </rPr>
      <t>+</t>
    </r>
    <r>
      <rPr>
        <i/>
        <sz val="12"/>
        <color indexed="10"/>
        <rFont val="Arial"/>
        <family val="2"/>
      </rPr>
      <t>S</t>
    </r>
    <r>
      <rPr>
        <vertAlign val="subscript"/>
        <sz val="12"/>
        <color indexed="10"/>
        <rFont val="Arial"/>
        <family val="2"/>
      </rPr>
      <t>BSA</t>
    </r>
    <r>
      <rPr>
        <sz val="12"/>
        <color indexed="10"/>
        <rFont val="Arial"/>
        <family val="2"/>
      </rPr>
      <t>)]</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K</t>
    </r>
    <r>
      <rPr>
        <vertAlign val="subscript"/>
        <sz val="12"/>
        <color indexed="8"/>
        <rFont val="Arial"/>
        <family val="2"/>
      </rPr>
      <t>NA</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K</t>
    </r>
    <r>
      <rPr>
        <vertAlign val="subscript"/>
        <sz val="12"/>
        <color indexed="8"/>
        <rFont val="Arial"/>
        <family val="2"/>
      </rPr>
      <t>LP,GRO</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Z</t>
    </r>
    <r>
      <rPr>
        <vertAlign val="subscript"/>
        <sz val="12"/>
        <color indexed="8"/>
        <rFont val="Arial"/>
        <family val="2"/>
      </rPr>
      <t>H</t>
    </r>
  </si>
  <si>
    <r>
      <t>Anoxic growth of Z</t>
    </r>
    <r>
      <rPr>
        <b/>
        <vertAlign val="subscript"/>
        <sz val="10"/>
        <color indexed="8"/>
        <rFont val="Arial"/>
        <family val="2"/>
      </rPr>
      <t>H</t>
    </r>
    <r>
      <rPr>
        <b/>
        <sz val="10"/>
        <color indexed="8"/>
        <rFont val="Arial"/>
        <family val="2"/>
      </rPr>
      <t xml:space="preserve"> on S</t>
    </r>
    <r>
      <rPr>
        <b/>
        <vertAlign val="subscript"/>
        <sz val="10"/>
        <color indexed="8"/>
        <rFont val="Arial"/>
        <family val="2"/>
      </rPr>
      <t>BSA</t>
    </r>
    <r>
      <rPr>
        <b/>
        <sz val="10"/>
        <color indexed="8"/>
        <rFont val="Arial"/>
        <family val="2"/>
      </rPr>
      <t xml:space="preserve"> with N</t>
    </r>
    <r>
      <rPr>
        <b/>
        <vertAlign val="subscript"/>
        <sz val="10"/>
        <color indexed="8"/>
        <rFont val="Arial"/>
        <family val="2"/>
      </rPr>
      <t>H3</t>
    </r>
  </si>
  <si>
    <r>
      <t>μ</t>
    </r>
    <r>
      <rPr>
        <vertAlign val="subscript"/>
        <sz val="12"/>
        <color indexed="8"/>
        <rFont val="Arial"/>
        <family val="2"/>
      </rPr>
      <t>H</t>
    </r>
    <r>
      <rPr>
        <sz val="12"/>
        <color indexed="8"/>
        <rFont val="Arial"/>
        <family val="2"/>
      </rPr>
      <t>*</t>
    </r>
    <r>
      <rPr>
        <i/>
        <sz val="12"/>
        <color indexed="8"/>
        <rFont val="Arial"/>
        <family val="2"/>
      </rPr>
      <t>η</t>
    </r>
    <r>
      <rPr>
        <vertAlign val="subscript"/>
        <sz val="12"/>
        <color indexed="8"/>
        <rFont val="Arial"/>
        <family val="2"/>
      </rPr>
      <t>GRO</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BSA</t>
    </r>
    <r>
      <rPr>
        <sz val="12"/>
        <color indexed="8"/>
        <rFont val="Arial"/>
        <family val="2"/>
      </rPr>
      <t>/(</t>
    </r>
    <r>
      <rPr>
        <i/>
        <sz val="12"/>
        <color indexed="8"/>
        <rFont val="Arial"/>
        <family val="2"/>
      </rPr>
      <t>K</t>
    </r>
    <r>
      <rPr>
        <vertAlign val="subscript"/>
        <sz val="12"/>
        <color indexed="8"/>
        <rFont val="Arial"/>
        <family val="2"/>
      </rPr>
      <t>S,H</t>
    </r>
    <r>
      <rPr>
        <sz val="12"/>
        <color indexed="8"/>
        <rFont val="Arial"/>
        <family val="2"/>
      </rPr>
      <t>+</t>
    </r>
    <r>
      <rPr>
        <i/>
        <sz val="12"/>
        <color indexed="8"/>
        <rFont val="Arial"/>
        <family val="2"/>
      </rPr>
      <t>S</t>
    </r>
    <r>
      <rPr>
        <vertAlign val="subscript"/>
        <sz val="12"/>
        <color indexed="8"/>
        <rFont val="Arial"/>
        <family val="2"/>
      </rPr>
      <t>BSA</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BSA</t>
    </r>
    <r>
      <rPr>
        <sz val="12"/>
        <color indexed="10"/>
        <rFont val="Arial"/>
        <family val="2"/>
      </rPr>
      <t>/(</t>
    </r>
    <r>
      <rPr>
        <i/>
        <sz val="12"/>
        <color indexed="10"/>
        <rFont val="Arial"/>
        <family val="2"/>
      </rPr>
      <t>S</t>
    </r>
    <r>
      <rPr>
        <vertAlign val="subscript"/>
        <sz val="12"/>
        <color indexed="10"/>
        <rFont val="Arial"/>
        <family val="2"/>
      </rPr>
      <t>BSC</t>
    </r>
    <r>
      <rPr>
        <sz val="12"/>
        <color indexed="10"/>
        <rFont val="Arial"/>
        <family val="2"/>
      </rPr>
      <t>+</t>
    </r>
    <r>
      <rPr>
        <i/>
        <sz val="12"/>
        <color indexed="10"/>
        <rFont val="Arial"/>
        <family val="2"/>
      </rPr>
      <t>S</t>
    </r>
    <r>
      <rPr>
        <vertAlign val="subscript"/>
        <sz val="12"/>
        <color indexed="10"/>
        <rFont val="Arial"/>
        <family val="2"/>
      </rPr>
      <t>BSA</t>
    </r>
    <r>
      <rPr>
        <sz val="12"/>
        <color indexed="10"/>
        <rFont val="Arial"/>
        <family val="2"/>
      </rPr>
      <t>)]</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K</t>
    </r>
    <r>
      <rPr>
        <vertAlign val="subscript"/>
        <sz val="12"/>
        <color indexed="8"/>
        <rFont val="Arial"/>
        <family val="2"/>
      </rPr>
      <t>NA</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K</t>
    </r>
    <r>
      <rPr>
        <vertAlign val="subscript"/>
        <sz val="12"/>
        <color indexed="8"/>
        <rFont val="Arial"/>
        <family val="2"/>
      </rPr>
      <t>LP,GRO</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Z</t>
    </r>
    <r>
      <rPr>
        <vertAlign val="subscript"/>
        <sz val="12"/>
        <color indexed="8"/>
        <rFont val="Arial"/>
        <family val="2"/>
      </rPr>
      <t>H</t>
    </r>
  </si>
  <si>
    <r>
      <t>Aerobic growth of Z</t>
    </r>
    <r>
      <rPr>
        <b/>
        <vertAlign val="subscript"/>
        <sz val="10"/>
        <color indexed="8"/>
        <rFont val="Arial"/>
        <family val="2"/>
      </rPr>
      <t>H</t>
    </r>
    <r>
      <rPr>
        <b/>
        <sz val="10"/>
        <color indexed="8"/>
        <rFont val="Arial"/>
        <family val="2"/>
      </rPr>
      <t xml:space="preserve"> on S</t>
    </r>
    <r>
      <rPr>
        <b/>
        <vertAlign val="subscript"/>
        <sz val="10"/>
        <color indexed="8"/>
        <rFont val="Arial"/>
        <family val="2"/>
      </rPr>
      <t>BSA</t>
    </r>
    <r>
      <rPr>
        <b/>
        <sz val="10"/>
        <color indexed="8"/>
        <rFont val="Arial"/>
        <family val="2"/>
      </rPr>
      <t xml:space="preserve"> with N</t>
    </r>
    <r>
      <rPr>
        <b/>
        <vertAlign val="subscript"/>
        <sz val="10"/>
        <color indexed="8"/>
        <rFont val="Arial"/>
        <family val="2"/>
      </rPr>
      <t>O3</t>
    </r>
  </si>
  <si>
    <r>
      <t>μ</t>
    </r>
    <r>
      <rPr>
        <vertAlign val="subscript"/>
        <sz val="12"/>
        <color indexed="8"/>
        <rFont val="Arial"/>
        <family val="2"/>
      </rPr>
      <t>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BSA</t>
    </r>
    <r>
      <rPr>
        <sz val="12"/>
        <color indexed="8"/>
        <rFont val="Arial"/>
        <family val="2"/>
      </rPr>
      <t>/(</t>
    </r>
    <r>
      <rPr>
        <i/>
        <sz val="12"/>
        <color indexed="8"/>
        <rFont val="Arial"/>
        <family val="2"/>
      </rPr>
      <t>K</t>
    </r>
    <r>
      <rPr>
        <vertAlign val="subscript"/>
        <sz val="12"/>
        <color indexed="8"/>
        <rFont val="Arial"/>
        <family val="2"/>
      </rPr>
      <t>S,H</t>
    </r>
    <r>
      <rPr>
        <sz val="12"/>
        <color indexed="8"/>
        <rFont val="Arial"/>
        <family val="2"/>
      </rPr>
      <t>+</t>
    </r>
    <r>
      <rPr>
        <i/>
        <sz val="12"/>
        <color indexed="8"/>
        <rFont val="Arial"/>
        <family val="2"/>
      </rPr>
      <t>S</t>
    </r>
    <r>
      <rPr>
        <vertAlign val="subscript"/>
        <sz val="12"/>
        <color indexed="8"/>
        <rFont val="Arial"/>
        <family val="2"/>
      </rPr>
      <t>BSA</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BSA</t>
    </r>
    <r>
      <rPr>
        <sz val="12"/>
        <color indexed="10"/>
        <rFont val="Arial"/>
        <family val="2"/>
      </rPr>
      <t>/(</t>
    </r>
    <r>
      <rPr>
        <i/>
        <sz val="12"/>
        <color indexed="10"/>
        <rFont val="Arial"/>
        <family val="2"/>
      </rPr>
      <t>S</t>
    </r>
    <r>
      <rPr>
        <vertAlign val="subscript"/>
        <sz val="12"/>
        <color indexed="10"/>
        <rFont val="Arial"/>
        <family val="2"/>
      </rPr>
      <t>BSC</t>
    </r>
    <r>
      <rPr>
        <sz val="12"/>
        <color indexed="10"/>
        <rFont val="Arial"/>
        <family val="2"/>
      </rPr>
      <t>+</t>
    </r>
    <r>
      <rPr>
        <i/>
        <sz val="12"/>
        <color indexed="10"/>
        <rFont val="Arial"/>
        <family val="2"/>
      </rPr>
      <t>S</t>
    </r>
    <r>
      <rPr>
        <vertAlign val="subscript"/>
        <sz val="12"/>
        <color indexed="10"/>
        <rFont val="Arial"/>
        <family val="2"/>
      </rPr>
      <t>BSA</t>
    </r>
    <r>
      <rPr>
        <sz val="12"/>
        <color indexed="10"/>
        <rFont val="Arial"/>
        <family val="2"/>
      </rPr>
      <t>)]</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NA</t>
    </r>
    <r>
      <rPr>
        <sz val="12"/>
        <color indexed="8"/>
        <rFont val="Arial"/>
        <family val="2"/>
      </rPr>
      <t>/(</t>
    </r>
    <r>
      <rPr>
        <i/>
        <sz val="12"/>
        <color indexed="8"/>
        <rFont val="Arial"/>
        <family val="2"/>
      </rPr>
      <t>K</t>
    </r>
    <r>
      <rPr>
        <vertAlign val="subscript"/>
        <sz val="12"/>
        <color indexed="8"/>
        <rFont val="Arial"/>
        <family val="2"/>
      </rPr>
      <t>NA</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K</t>
    </r>
    <r>
      <rPr>
        <vertAlign val="subscript"/>
        <sz val="12"/>
        <color indexed="8"/>
        <rFont val="Arial"/>
        <family val="2"/>
      </rPr>
      <t>LP,GRO</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Z</t>
    </r>
    <r>
      <rPr>
        <vertAlign val="subscript"/>
        <sz val="12"/>
        <color indexed="8"/>
        <rFont val="Arial"/>
        <family val="2"/>
      </rPr>
      <t>H</t>
    </r>
  </si>
  <si>
    <r>
      <t>Anoxic growth of Z</t>
    </r>
    <r>
      <rPr>
        <b/>
        <vertAlign val="subscript"/>
        <sz val="10"/>
        <color indexed="8"/>
        <rFont val="Arial"/>
        <family val="2"/>
      </rPr>
      <t>H</t>
    </r>
    <r>
      <rPr>
        <b/>
        <sz val="10"/>
        <color indexed="8"/>
        <rFont val="Arial"/>
        <family val="2"/>
      </rPr>
      <t xml:space="preserve"> on S</t>
    </r>
    <r>
      <rPr>
        <b/>
        <vertAlign val="subscript"/>
        <sz val="10"/>
        <color indexed="8"/>
        <rFont val="Arial"/>
        <family val="2"/>
      </rPr>
      <t>BSA</t>
    </r>
    <r>
      <rPr>
        <b/>
        <sz val="10"/>
        <color indexed="8"/>
        <rFont val="Arial"/>
        <family val="2"/>
      </rPr>
      <t xml:space="preserve"> with N</t>
    </r>
    <r>
      <rPr>
        <b/>
        <vertAlign val="subscript"/>
        <sz val="10"/>
        <color indexed="8"/>
        <rFont val="Arial"/>
        <family val="2"/>
      </rPr>
      <t>O3</t>
    </r>
  </si>
  <si>
    <r>
      <t>μ</t>
    </r>
    <r>
      <rPr>
        <vertAlign val="subscript"/>
        <sz val="12"/>
        <color indexed="8"/>
        <rFont val="Arial"/>
        <family val="2"/>
      </rPr>
      <t>H</t>
    </r>
    <r>
      <rPr>
        <sz val="12"/>
        <color indexed="8"/>
        <rFont val="Arial"/>
        <family val="2"/>
      </rPr>
      <t>*</t>
    </r>
    <r>
      <rPr>
        <i/>
        <sz val="12"/>
        <color indexed="8"/>
        <rFont val="Arial"/>
        <family val="2"/>
      </rPr>
      <t>η</t>
    </r>
    <r>
      <rPr>
        <vertAlign val="subscript"/>
        <sz val="12"/>
        <color indexed="8"/>
        <rFont val="Arial"/>
        <family val="2"/>
      </rPr>
      <t>GRO</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BSA</t>
    </r>
    <r>
      <rPr>
        <sz val="12"/>
        <color indexed="8"/>
        <rFont val="Arial"/>
        <family val="2"/>
      </rPr>
      <t>/(</t>
    </r>
    <r>
      <rPr>
        <i/>
        <sz val="12"/>
        <color indexed="8"/>
        <rFont val="Arial"/>
        <family val="2"/>
      </rPr>
      <t>K</t>
    </r>
    <r>
      <rPr>
        <vertAlign val="subscript"/>
        <sz val="12"/>
        <color indexed="8"/>
        <rFont val="Arial"/>
        <family val="2"/>
      </rPr>
      <t>S,H</t>
    </r>
    <r>
      <rPr>
        <sz val="12"/>
        <color indexed="8"/>
        <rFont val="Arial"/>
        <family val="2"/>
      </rPr>
      <t>+</t>
    </r>
    <r>
      <rPr>
        <i/>
        <sz val="12"/>
        <color indexed="8"/>
        <rFont val="Arial"/>
        <family val="2"/>
      </rPr>
      <t>S</t>
    </r>
    <r>
      <rPr>
        <vertAlign val="subscript"/>
        <sz val="12"/>
        <color indexed="8"/>
        <rFont val="Arial"/>
        <family val="2"/>
      </rPr>
      <t>BSA</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BSA</t>
    </r>
    <r>
      <rPr>
        <sz val="12"/>
        <color indexed="10"/>
        <rFont val="Arial"/>
        <family val="2"/>
      </rPr>
      <t>/(</t>
    </r>
    <r>
      <rPr>
        <i/>
        <sz val="12"/>
        <color indexed="10"/>
        <rFont val="Arial"/>
        <family val="2"/>
      </rPr>
      <t>S</t>
    </r>
    <r>
      <rPr>
        <vertAlign val="subscript"/>
        <sz val="12"/>
        <color indexed="10"/>
        <rFont val="Arial"/>
        <family val="2"/>
      </rPr>
      <t>BSC</t>
    </r>
    <r>
      <rPr>
        <sz val="12"/>
        <color indexed="10"/>
        <rFont val="Arial"/>
        <family val="2"/>
      </rPr>
      <t>+</t>
    </r>
    <r>
      <rPr>
        <i/>
        <sz val="12"/>
        <color indexed="10"/>
        <rFont val="Arial"/>
        <family val="2"/>
      </rPr>
      <t>S</t>
    </r>
    <r>
      <rPr>
        <vertAlign val="subscript"/>
        <sz val="12"/>
        <color indexed="10"/>
        <rFont val="Arial"/>
        <family val="2"/>
      </rPr>
      <t>BSA</t>
    </r>
    <r>
      <rPr>
        <sz val="12"/>
        <color indexed="10"/>
        <rFont val="Arial"/>
        <family val="2"/>
      </rPr>
      <t>)]</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NA</t>
    </r>
    <r>
      <rPr>
        <sz val="12"/>
        <color indexed="8"/>
        <rFont val="Arial"/>
        <family val="2"/>
      </rPr>
      <t>/(</t>
    </r>
    <r>
      <rPr>
        <i/>
        <sz val="12"/>
        <color indexed="8"/>
        <rFont val="Arial"/>
        <family val="2"/>
      </rPr>
      <t>K</t>
    </r>
    <r>
      <rPr>
        <vertAlign val="subscript"/>
        <sz val="12"/>
        <color indexed="8"/>
        <rFont val="Arial"/>
        <family val="2"/>
      </rPr>
      <t>NA</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K</t>
    </r>
    <r>
      <rPr>
        <vertAlign val="subscript"/>
        <sz val="12"/>
        <color indexed="8"/>
        <rFont val="Arial"/>
        <family val="2"/>
      </rPr>
      <t>LP,GRO</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Z</t>
    </r>
    <r>
      <rPr>
        <vertAlign val="subscript"/>
        <sz val="12"/>
        <color indexed="8"/>
        <rFont val="Arial"/>
        <family val="2"/>
      </rPr>
      <t>H</t>
    </r>
  </si>
  <si>
    <r>
      <t>Decay of Z</t>
    </r>
    <r>
      <rPr>
        <b/>
        <vertAlign val="subscript"/>
        <sz val="10"/>
        <color indexed="8"/>
        <rFont val="Arial"/>
        <family val="2"/>
      </rPr>
      <t>H</t>
    </r>
  </si>
  <si>
    <r>
      <t>1-</t>
    </r>
    <r>
      <rPr>
        <i/>
        <sz val="12"/>
        <color indexed="8"/>
        <rFont val="Arial"/>
        <family val="2"/>
      </rPr>
      <t>f</t>
    </r>
    <r>
      <rPr>
        <vertAlign val="subscript"/>
        <sz val="12"/>
        <color indexed="8"/>
        <rFont val="Arial"/>
        <family val="2"/>
      </rPr>
      <t>EP,H</t>
    </r>
  </si>
  <si>
    <r>
      <t>f</t>
    </r>
    <r>
      <rPr>
        <vertAlign val="subscript"/>
        <sz val="12"/>
        <color indexed="8"/>
        <rFont val="Arial"/>
        <family val="2"/>
      </rPr>
      <t>P,ZH</t>
    </r>
    <r>
      <rPr>
        <i/>
        <sz val="12"/>
        <color indexed="8"/>
        <rFont val="Arial"/>
        <family val="2"/>
      </rPr>
      <t>-f</t>
    </r>
    <r>
      <rPr>
        <vertAlign val="subscript"/>
        <sz val="12"/>
        <color indexed="8"/>
        <rFont val="Arial"/>
        <family val="2"/>
      </rPr>
      <t>EP,H</t>
    </r>
    <r>
      <rPr>
        <sz val="12"/>
        <color indexed="8"/>
        <rFont val="Arial"/>
        <family val="2"/>
      </rPr>
      <t>*</t>
    </r>
    <r>
      <rPr>
        <i/>
        <sz val="12"/>
        <color indexed="8"/>
        <rFont val="Arial"/>
        <family val="2"/>
      </rPr>
      <t>f</t>
    </r>
    <r>
      <rPr>
        <vertAlign val="subscript"/>
        <sz val="12"/>
        <color indexed="8"/>
        <rFont val="Arial"/>
        <family val="2"/>
      </rPr>
      <t>P,ZEH</t>
    </r>
  </si>
  <si>
    <r>
      <t>f</t>
    </r>
    <r>
      <rPr>
        <vertAlign val="subscript"/>
        <sz val="12"/>
        <color indexed="8"/>
        <rFont val="Arial"/>
        <family val="2"/>
      </rPr>
      <t>N,ZH</t>
    </r>
    <r>
      <rPr>
        <i/>
        <sz val="12"/>
        <color indexed="8"/>
        <rFont val="Arial"/>
        <family val="2"/>
      </rPr>
      <t>-f</t>
    </r>
    <r>
      <rPr>
        <vertAlign val="subscript"/>
        <sz val="12"/>
        <color indexed="8"/>
        <rFont val="Arial"/>
        <family val="2"/>
      </rPr>
      <t>EP,H</t>
    </r>
    <r>
      <rPr>
        <sz val="12"/>
        <color indexed="8"/>
        <rFont val="Arial"/>
        <family val="2"/>
      </rPr>
      <t>*</t>
    </r>
    <r>
      <rPr>
        <i/>
        <sz val="12"/>
        <color indexed="8"/>
        <rFont val="Arial"/>
        <family val="2"/>
      </rPr>
      <t>f</t>
    </r>
    <r>
      <rPr>
        <vertAlign val="subscript"/>
        <sz val="12"/>
        <color indexed="8"/>
        <rFont val="Arial"/>
        <family val="2"/>
      </rPr>
      <t>N,ZEH</t>
    </r>
  </si>
  <si>
    <r>
      <t>b</t>
    </r>
    <r>
      <rPr>
        <vertAlign val="subscript"/>
        <sz val="12"/>
        <color indexed="8"/>
        <rFont val="Arial"/>
        <family val="2"/>
      </rPr>
      <t>H</t>
    </r>
    <r>
      <rPr>
        <sz val="12"/>
        <color indexed="8"/>
        <rFont val="Arial"/>
        <family val="2"/>
      </rPr>
      <t>*</t>
    </r>
    <r>
      <rPr>
        <i/>
        <sz val="12"/>
        <color indexed="8"/>
        <rFont val="Arial"/>
        <family val="2"/>
      </rPr>
      <t>Z</t>
    </r>
    <r>
      <rPr>
        <vertAlign val="subscript"/>
        <sz val="12"/>
        <color indexed="8"/>
        <rFont val="Arial"/>
        <family val="2"/>
      </rPr>
      <t>H</t>
    </r>
  </si>
  <si>
    <r>
      <t>Aerobic hydrolysis of S</t>
    </r>
    <r>
      <rPr>
        <b/>
        <vertAlign val="subscript"/>
        <sz val="10"/>
        <color indexed="8"/>
        <rFont val="Arial"/>
        <family val="2"/>
      </rPr>
      <t>ENM</t>
    </r>
  </si>
  <si>
    <r>
      <t>K</t>
    </r>
    <r>
      <rPr>
        <vertAlign val="subscript"/>
        <sz val="12"/>
        <color indexed="8"/>
        <rFont val="Arial"/>
        <family val="2"/>
      </rPr>
      <t>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ENM</t>
    </r>
    <r>
      <rPr>
        <sz val="12"/>
        <color indexed="8"/>
        <rFont val="Arial"/>
        <family val="2"/>
      </rPr>
      <t>/</t>
    </r>
    <r>
      <rPr>
        <i/>
        <sz val="12"/>
        <color indexed="8"/>
        <rFont val="Arial"/>
        <family val="2"/>
      </rPr>
      <t>Z</t>
    </r>
    <r>
      <rPr>
        <vertAlign val="subscript"/>
        <sz val="12"/>
        <color indexed="8"/>
        <rFont val="Arial"/>
        <family val="2"/>
      </rPr>
      <t>H</t>
    </r>
    <r>
      <rPr>
        <sz val="12"/>
        <color indexed="8"/>
        <rFont val="Arial"/>
        <family val="2"/>
      </rPr>
      <t>)/(</t>
    </r>
    <r>
      <rPr>
        <i/>
        <sz val="12"/>
        <color indexed="8"/>
        <rFont val="Arial"/>
        <family val="2"/>
      </rPr>
      <t>K</t>
    </r>
    <r>
      <rPr>
        <vertAlign val="subscript"/>
        <sz val="12"/>
        <color indexed="8"/>
        <rFont val="Arial"/>
        <family val="2"/>
      </rPr>
      <t>X</t>
    </r>
    <r>
      <rPr>
        <sz val="12"/>
        <color indexed="8"/>
        <rFont val="Arial"/>
        <family val="2"/>
      </rPr>
      <t>+(</t>
    </r>
    <r>
      <rPr>
        <i/>
        <sz val="12"/>
        <color indexed="8"/>
        <rFont val="Arial"/>
        <family val="2"/>
      </rPr>
      <t>S</t>
    </r>
    <r>
      <rPr>
        <vertAlign val="subscript"/>
        <sz val="12"/>
        <color indexed="8"/>
        <rFont val="Arial"/>
        <family val="2"/>
      </rPr>
      <t>ENM</t>
    </r>
    <r>
      <rPr>
        <sz val="12"/>
        <color indexed="8"/>
        <rFont val="Arial"/>
        <family val="2"/>
      </rPr>
      <t>/</t>
    </r>
    <r>
      <rPr>
        <i/>
        <sz val="12"/>
        <color indexed="8"/>
        <rFont val="Arial"/>
        <family val="2"/>
      </rPr>
      <t>Z</t>
    </r>
    <r>
      <rPr>
        <vertAlign val="subscript"/>
        <sz val="12"/>
        <color indexed="8"/>
        <rFont val="Arial"/>
        <family val="2"/>
      </rPr>
      <t>H</t>
    </r>
    <r>
      <rPr>
        <sz val="12"/>
        <color indexed="8"/>
        <rFont val="Arial"/>
        <family val="2"/>
      </rPr>
      <t>))]*</t>
    </r>
    <r>
      <rPr>
        <i/>
        <sz val="12"/>
        <color indexed="8"/>
        <rFont val="Arial"/>
        <family val="2"/>
      </rPr>
      <t>Z</t>
    </r>
    <r>
      <rPr>
        <vertAlign val="subscript"/>
        <sz val="12"/>
        <color indexed="8"/>
        <rFont val="Arial"/>
        <family val="2"/>
      </rPr>
      <t>H</t>
    </r>
  </si>
  <si>
    <r>
      <t>Anoxic hydrolysis of S</t>
    </r>
    <r>
      <rPr>
        <b/>
        <vertAlign val="subscript"/>
        <sz val="10"/>
        <color indexed="8"/>
        <rFont val="Arial"/>
        <family val="2"/>
      </rPr>
      <t>ENM</t>
    </r>
  </si>
  <si>
    <r>
      <t>(1-</t>
    </r>
    <r>
      <rPr>
        <i/>
        <sz val="12"/>
        <color indexed="10"/>
        <rFont val="Arial"/>
        <family val="2"/>
      </rPr>
      <t>E</t>
    </r>
    <r>
      <rPr>
        <vertAlign val="subscript"/>
        <sz val="12"/>
        <color indexed="10"/>
        <rFont val="Arial"/>
        <family val="2"/>
      </rPr>
      <t>ANOX</t>
    </r>
    <r>
      <rPr>
        <sz val="12"/>
        <color indexed="10"/>
        <rFont val="Arial"/>
        <family val="2"/>
      </rPr>
      <t>)</t>
    </r>
    <r>
      <rPr>
        <i/>
        <sz val="12"/>
        <color indexed="10"/>
        <rFont val="Arial"/>
        <family val="2"/>
      </rPr>
      <t>/i</t>
    </r>
    <r>
      <rPr>
        <vertAlign val="subscript"/>
        <sz val="12"/>
        <color indexed="10"/>
        <rFont val="Arial"/>
        <family val="2"/>
      </rPr>
      <t>COD_H2</t>
    </r>
  </si>
  <si>
    <r>
      <t>K</t>
    </r>
    <r>
      <rPr>
        <vertAlign val="subscript"/>
        <sz val="12"/>
        <color indexed="8"/>
        <rFont val="Arial"/>
        <family val="2"/>
      </rPr>
      <t>H</t>
    </r>
    <r>
      <rPr>
        <sz val="12"/>
        <color indexed="8"/>
        <rFont val="Arial"/>
        <family val="2"/>
      </rPr>
      <t>*</t>
    </r>
    <r>
      <rPr>
        <i/>
        <sz val="12"/>
        <color indexed="8"/>
        <rFont val="Arial"/>
        <family val="2"/>
      </rPr>
      <t>η</t>
    </r>
    <r>
      <rPr>
        <vertAlign val="subscript"/>
        <sz val="12"/>
        <color indexed="8"/>
        <rFont val="Arial"/>
        <family val="2"/>
      </rPr>
      <t>S,ANOX</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S</t>
    </r>
    <r>
      <rPr>
        <vertAlign val="subscript"/>
        <sz val="12"/>
        <color indexed="8"/>
        <rFont val="Arial"/>
        <family val="2"/>
      </rPr>
      <t>ENM</t>
    </r>
    <r>
      <rPr>
        <sz val="12"/>
        <color indexed="8"/>
        <rFont val="Arial"/>
        <family val="2"/>
      </rPr>
      <t>/</t>
    </r>
    <r>
      <rPr>
        <i/>
        <sz val="12"/>
        <color indexed="8"/>
        <rFont val="Arial"/>
        <family val="2"/>
      </rPr>
      <t>Z</t>
    </r>
    <r>
      <rPr>
        <vertAlign val="subscript"/>
        <sz val="12"/>
        <color indexed="8"/>
        <rFont val="Arial"/>
        <family val="2"/>
      </rPr>
      <t>H</t>
    </r>
    <r>
      <rPr>
        <sz val="12"/>
        <color indexed="8"/>
        <rFont val="Arial"/>
        <family val="2"/>
      </rPr>
      <t>)/(</t>
    </r>
    <r>
      <rPr>
        <i/>
        <sz val="12"/>
        <color indexed="8"/>
        <rFont val="Arial"/>
        <family val="2"/>
      </rPr>
      <t>K</t>
    </r>
    <r>
      <rPr>
        <vertAlign val="subscript"/>
        <sz val="12"/>
        <color indexed="8"/>
        <rFont val="Arial"/>
        <family val="2"/>
      </rPr>
      <t>X</t>
    </r>
    <r>
      <rPr>
        <sz val="12"/>
        <color indexed="8"/>
        <rFont val="Arial"/>
        <family val="2"/>
      </rPr>
      <t>+(</t>
    </r>
    <r>
      <rPr>
        <i/>
        <sz val="12"/>
        <color indexed="8"/>
        <rFont val="Arial"/>
        <family val="2"/>
      </rPr>
      <t>S</t>
    </r>
    <r>
      <rPr>
        <vertAlign val="subscript"/>
        <sz val="12"/>
        <color indexed="8"/>
        <rFont val="Arial"/>
        <family val="2"/>
      </rPr>
      <t>ENM</t>
    </r>
    <r>
      <rPr>
        <sz val="12"/>
        <color indexed="8"/>
        <rFont val="Arial"/>
        <family val="2"/>
      </rPr>
      <t>/</t>
    </r>
    <r>
      <rPr>
        <i/>
        <sz val="12"/>
        <color indexed="8"/>
        <rFont val="Arial"/>
        <family val="2"/>
      </rPr>
      <t>Z</t>
    </r>
    <r>
      <rPr>
        <vertAlign val="subscript"/>
        <sz val="12"/>
        <color indexed="8"/>
        <rFont val="Arial"/>
        <family val="2"/>
      </rPr>
      <t>H</t>
    </r>
    <r>
      <rPr>
        <sz val="12"/>
        <color indexed="8"/>
        <rFont val="Arial"/>
        <family val="2"/>
      </rPr>
      <t>))]*</t>
    </r>
    <r>
      <rPr>
        <i/>
        <sz val="12"/>
        <color indexed="8"/>
        <rFont val="Arial"/>
        <family val="2"/>
      </rPr>
      <t>Z</t>
    </r>
    <r>
      <rPr>
        <vertAlign val="subscript"/>
        <sz val="12"/>
        <color indexed="8"/>
        <rFont val="Arial"/>
        <family val="2"/>
      </rPr>
      <t>H</t>
    </r>
  </si>
  <si>
    <r>
      <t>Anaerobic hydrolysis of S</t>
    </r>
    <r>
      <rPr>
        <b/>
        <vertAlign val="subscript"/>
        <sz val="10"/>
        <color indexed="8"/>
        <rFont val="Arial"/>
        <family val="2"/>
      </rPr>
      <t>ENM</t>
    </r>
  </si>
  <si>
    <r>
      <t>(1-</t>
    </r>
    <r>
      <rPr>
        <i/>
        <sz val="12"/>
        <color indexed="10"/>
        <rFont val="Arial"/>
        <family val="2"/>
      </rPr>
      <t>E</t>
    </r>
    <r>
      <rPr>
        <vertAlign val="subscript"/>
        <sz val="12"/>
        <color indexed="10"/>
        <rFont val="Arial"/>
        <family val="2"/>
      </rPr>
      <t>ANA</t>
    </r>
    <r>
      <rPr>
        <sz val="12"/>
        <color indexed="10"/>
        <rFont val="Arial"/>
        <family val="2"/>
      </rPr>
      <t>)</t>
    </r>
    <r>
      <rPr>
        <i/>
        <sz val="12"/>
        <color indexed="10"/>
        <rFont val="Arial"/>
        <family val="2"/>
      </rPr>
      <t>/i</t>
    </r>
    <r>
      <rPr>
        <vertAlign val="subscript"/>
        <sz val="12"/>
        <color indexed="10"/>
        <rFont val="Arial"/>
        <family val="2"/>
      </rPr>
      <t>COD_H2</t>
    </r>
  </si>
  <si>
    <r>
      <t>K</t>
    </r>
    <r>
      <rPr>
        <vertAlign val="subscript"/>
        <sz val="12"/>
        <color indexed="8"/>
        <rFont val="Arial"/>
        <family val="2"/>
      </rPr>
      <t>H</t>
    </r>
    <r>
      <rPr>
        <sz val="12"/>
        <color indexed="8"/>
        <rFont val="Arial"/>
        <family val="2"/>
      </rPr>
      <t>*</t>
    </r>
    <r>
      <rPr>
        <i/>
        <sz val="12"/>
        <color indexed="8"/>
        <rFont val="Arial"/>
        <family val="2"/>
      </rPr>
      <t>η</t>
    </r>
    <r>
      <rPr>
        <vertAlign val="subscript"/>
        <sz val="12"/>
        <color indexed="8"/>
        <rFont val="Arial"/>
        <family val="2"/>
      </rPr>
      <t>S,ANA</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S</t>
    </r>
    <r>
      <rPr>
        <vertAlign val="subscript"/>
        <sz val="12"/>
        <color indexed="8"/>
        <rFont val="Arial"/>
        <family val="2"/>
      </rPr>
      <t>ENM</t>
    </r>
    <r>
      <rPr>
        <sz val="12"/>
        <color indexed="8"/>
        <rFont val="Arial"/>
        <family val="2"/>
      </rPr>
      <t>/</t>
    </r>
    <r>
      <rPr>
        <i/>
        <sz val="12"/>
        <color indexed="8"/>
        <rFont val="Arial"/>
        <family val="2"/>
      </rPr>
      <t>Z</t>
    </r>
    <r>
      <rPr>
        <vertAlign val="subscript"/>
        <sz val="12"/>
        <color indexed="8"/>
        <rFont val="Arial"/>
        <family val="2"/>
      </rPr>
      <t>H</t>
    </r>
    <r>
      <rPr>
        <sz val="12"/>
        <color indexed="8"/>
        <rFont val="Arial"/>
        <family val="2"/>
      </rPr>
      <t>)/(</t>
    </r>
    <r>
      <rPr>
        <i/>
        <sz val="12"/>
        <color indexed="8"/>
        <rFont val="Arial"/>
        <family val="2"/>
      </rPr>
      <t>K</t>
    </r>
    <r>
      <rPr>
        <vertAlign val="subscript"/>
        <sz val="12"/>
        <color indexed="8"/>
        <rFont val="Arial"/>
        <family val="2"/>
      </rPr>
      <t>X</t>
    </r>
    <r>
      <rPr>
        <sz val="12"/>
        <color indexed="8"/>
        <rFont val="Arial"/>
        <family val="2"/>
      </rPr>
      <t>+(</t>
    </r>
    <r>
      <rPr>
        <i/>
        <sz val="12"/>
        <color indexed="8"/>
        <rFont val="Arial"/>
        <family val="2"/>
      </rPr>
      <t>S</t>
    </r>
    <r>
      <rPr>
        <vertAlign val="subscript"/>
        <sz val="12"/>
        <color indexed="8"/>
        <rFont val="Arial"/>
        <family val="2"/>
      </rPr>
      <t>ENM</t>
    </r>
    <r>
      <rPr>
        <sz val="12"/>
        <color indexed="8"/>
        <rFont val="Arial"/>
        <family val="2"/>
      </rPr>
      <t>/</t>
    </r>
    <r>
      <rPr>
        <i/>
        <sz val="12"/>
        <color indexed="8"/>
        <rFont val="Arial"/>
        <family val="2"/>
      </rPr>
      <t>Z</t>
    </r>
    <r>
      <rPr>
        <vertAlign val="subscript"/>
        <sz val="12"/>
        <color indexed="8"/>
        <rFont val="Arial"/>
        <family val="2"/>
      </rPr>
      <t>H</t>
    </r>
    <r>
      <rPr>
        <sz val="12"/>
        <color indexed="8"/>
        <rFont val="Arial"/>
        <family val="2"/>
      </rPr>
      <t>))]*</t>
    </r>
    <r>
      <rPr>
        <i/>
        <sz val="12"/>
        <color indexed="8"/>
        <rFont val="Arial"/>
        <family val="2"/>
      </rPr>
      <t>Z</t>
    </r>
    <r>
      <rPr>
        <vertAlign val="subscript"/>
        <sz val="12"/>
        <color indexed="8"/>
        <rFont val="Arial"/>
        <family val="2"/>
      </rPr>
      <t>H</t>
    </r>
  </si>
  <si>
    <r>
      <t>(</t>
    </r>
    <r>
      <rPr>
        <i/>
        <sz val="12"/>
        <color indexed="8"/>
        <rFont val="Arial"/>
        <family val="2"/>
      </rPr>
      <t>r</t>
    </r>
    <r>
      <rPr>
        <vertAlign val="subscript"/>
        <sz val="12"/>
        <color indexed="8"/>
        <rFont val="Arial"/>
        <family val="2"/>
      </rPr>
      <t>10</t>
    </r>
    <r>
      <rPr>
        <sz val="12"/>
        <color indexed="8"/>
        <rFont val="Arial"/>
        <family val="2"/>
      </rPr>
      <t>+</t>
    </r>
    <r>
      <rPr>
        <i/>
        <sz val="12"/>
        <color indexed="8"/>
        <rFont val="Arial"/>
        <family val="2"/>
      </rPr>
      <t>r</t>
    </r>
    <r>
      <rPr>
        <vertAlign val="subscript"/>
        <sz val="12"/>
        <color indexed="8"/>
        <rFont val="Arial"/>
        <family val="2"/>
      </rPr>
      <t>11</t>
    </r>
    <r>
      <rPr>
        <sz val="12"/>
        <color indexed="8"/>
        <rFont val="Arial"/>
        <family val="2"/>
      </rPr>
      <t>+</t>
    </r>
    <r>
      <rPr>
        <i/>
        <sz val="12"/>
        <color indexed="8"/>
        <rFont val="Arial"/>
        <family val="2"/>
      </rPr>
      <t>r</t>
    </r>
    <r>
      <rPr>
        <vertAlign val="subscript"/>
        <sz val="12"/>
        <color indexed="8"/>
        <rFont val="Arial"/>
        <family val="2"/>
      </rPr>
      <t>12</t>
    </r>
    <r>
      <rPr>
        <sz val="12"/>
        <color indexed="8"/>
        <rFont val="Arial"/>
        <family val="2"/>
      </rPr>
      <t>)</t>
    </r>
    <r>
      <rPr>
        <sz val="10"/>
        <color indexed="8"/>
        <rFont val="Arial"/>
        <family val="2"/>
      </rPr>
      <t>*</t>
    </r>
    <r>
      <rPr>
        <i/>
        <sz val="12"/>
        <color indexed="8"/>
        <rFont val="Arial"/>
        <family val="2"/>
      </rPr>
      <t>N</t>
    </r>
    <r>
      <rPr>
        <vertAlign val="subscript"/>
        <sz val="12"/>
        <color indexed="8"/>
        <rFont val="Arial"/>
        <family val="2"/>
      </rPr>
      <t>BP</t>
    </r>
    <r>
      <rPr>
        <sz val="10"/>
        <color indexed="8"/>
        <rFont val="Arial"/>
        <family val="2"/>
      </rPr>
      <t>/</t>
    </r>
    <r>
      <rPr>
        <i/>
        <sz val="12"/>
        <color indexed="8"/>
        <rFont val="Arial"/>
        <family val="2"/>
      </rPr>
      <t>S</t>
    </r>
    <r>
      <rPr>
        <vertAlign val="subscript"/>
        <sz val="12"/>
        <color indexed="8"/>
        <rFont val="Arial"/>
        <family val="2"/>
      </rPr>
      <t>ENM</t>
    </r>
  </si>
  <si>
    <r>
      <t>K</t>
    </r>
    <r>
      <rPr>
        <vertAlign val="subscript"/>
        <sz val="12"/>
        <color indexed="8"/>
        <rFont val="Arial"/>
        <family val="2"/>
      </rPr>
      <t>R</t>
    </r>
    <r>
      <rPr>
        <sz val="12"/>
        <color indexed="8"/>
        <rFont val="Arial"/>
        <family val="2"/>
      </rPr>
      <t>*</t>
    </r>
    <r>
      <rPr>
        <i/>
        <sz val="12"/>
        <color indexed="8"/>
        <rFont val="Arial"/>
        <family val="2"/>
      </rPr>
      <t>N</t>
    </r>
    <r>
      <rPr>
        <vertAlign val="subscript"/>
        <sz val="12"/>
        <color indexed="8"/>
        <rFont val="Arial"/>
        <family val="2"/>
      </rPr>
      <t>BS</t>
    </r>
    <r>
      <rPr>
        <sz val="12"/>
        <color indexed="8"/>
        <rFont val="Arial"/>
        <family val="2"/>
      </rPr>
      <t>*(</t>
    </r>
    <r>
      <rPr>
        <i/>
        <sz val="12"/>
        <color indexed="8"/>
        <rFont val="Arial"/>
        <family val="2"/>
      </rPr>
      <t>Z</t>
    </r>
    <r>
      <rPr>
        <vertAlign val="subscript"/>
        <sz val="12"/>
        <color indexed="8"/>
        <rFont val="Arial"/>
        <family val="2"/>
      </rPr>
      <t>H</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</si>
  <si>
    <r>
      <t>Fermentation of S</t>
    </r>
    <r>
      <rPr>
        <b/>
        <vertAlign val="subscript"/>
        <sz val="10"/>
        <color indexed="8"/>
        <rFont val="Arial"/>
        <family val="2"/>
      </rPr>
      <t>BSC</t>
    </r>
    <r>
      <rPr>
        <b/>
        <sz val="10"/>
        <color indexed="8"/>
        <rFont val="Arial"/>
        <family val="2"/>
      </rPr>
      <t xml:space="preserve"> to S</t>
    </r>
    <r>
      <rPr>
        <b/>
        <vertAlign val="subscript"/>
        <sz val="10"/>
        <color indexed="8"/>
        <rFont val="Arial"/>
        <family val="2"/>
      </rPr>
      <t>BSA</t>
    </r>
  </si>
  <si>
    <r>
      <t>(1-</t>
    </r>
    <r>
      <rPr>
        <i/>
        <sz val="12"/>
        <color indexed="8"/>
        <rFont val="Arial"/>
        <family val="2"/>
      </rPr>
      <t>Y</t>
    </r>
    <r>
      <rPr>
        <vertAlign val="subscript"/>
        <sz val="12"/>
        <color indexed="8"/>
        <rFont val="Arial"/>
        <family val="2"/>
      </rPr>
      <t>H,ANA</t>
    </r>
    <r>
      <rPr>
        <sz val="12"/>
        <color indexed="8"/>
        <rFont val="Arial"/>
        <family val="2"/>
      </rPr>
      <t>)</t>
    </r>
    <r>
      <rPr>
        <i/>
        <sz val="12"/>
        <color indexed="8"/>
        <rFont val="Arial"/>
        <family val="2"/>
      </rPr>
      <t>*Y</t>
    </r>
    <r>
      <rPr>
        <vertAlign val="subscript"/>
        <sz val="12"/>
        <color indexed="8"/>
        <rFont val="Arial"/>
        <family val="2"/>
      </rPr>
      <t>AC</t>
    </r>
  </si>
  <si>
    <r>
      <t>-</t>
    </r>
    <r>
      <rPr>
        <i/>
        <sz val="12"/>
        <color indexed="8"/>
        <rFont val="Arial"/>
        <family val="2"/>
      </rPr>
      <t>f</t>
    </r>
    <r>
      <rPr>
        <vertAlign val="subscript"/>
        <sz val="12"/>
        <color indexed="8"/>
        <rFont val="Arial"/>
        <family val="2"/>
      </rPr>
      <t>P,ZH</t>
    </r>
    <r>
      <rPr>
        <i/>
        <sz val="12"/>
        <color indexed="8"/>
        <rFont val="Arial"/>
        <family val="2"/>
      </rPr>
      <t>*Y</t>
    </r>
    <r>
      <rPr>
        <vertAlign val="subscript"/>
        <sz val="12"/>
        <color indexed="8"/>
        <rFont val="Arial"/>
        <family val="2"/>
      </rPr>
      <t>H,ANA</t>
    </r>
  </si>
  <si>
    <r>
      <t>-</t>
    </r>
    <r>
      <rPr>
        <i/>
        <sz val="12"/>
        <color indexed="8"/>
        <rFont val="Arial"/>
        <family val="2"/>
      </rPr>
      <t>f</t>
    </r>
    <r>
      <rPr>
        <vertAlign val="subscript"/>
        <sz val="12"/>
        <color indexed="8"/>
        <rFont val="Arial"/>
        <family val="2"/>
      </rPr>
      <t>N,ZH</t>
    </r>
    <r>
      <rPr>
        <i/>
        <sz val="12"/>
        <color indexed="8"/>
        <rFont val="Arial"/>
        <family val="2"/>
      </rPr>
      <t>*Y</t>
    </r>
    <r>
      <rPr>
        <vertAlign val="subscript"/>
        <sz val="12"/>
        <color indexed="8"/>
        <rFont val="Arial"/>
        <family val="2"/>
      </rPr>
      <t>H,ANA</t>
    </r>
  </si>
  <si>
    <r>
      <t>(1-(1-</t>
    </r>
    <r>
      <rPr>
        <i/>
        <sz val="12"/>
        <color indexed="10"/>
        <rFont val="Arial"/>
        <family val="2"/>
      </rPr>
      <t>Y</t>
    </r>
    <r>
      <rPr>
        <vertAlign val="subscript"/>
        <sz val="12"/>
        <color indexed="10"/>
        <rFont val="Arial"/>
        <family val="2"/>
      </rPr>
      <t>H,ANA</t>
    </r>
    <r>
      <rPr>
        <sz val="12"/>
        <color indexed="10"/>
        <rFont val="Arial"/>
        <family val="2"/>
      </rPr>
      <t>)</t>
    </r>
    <r>
      <rPr>
        <i/>
        <sz val="12"/>
        <color indexed="10"/>
        <rFont val="Arial"/>
        <family val="2"/>
      </rPr>
      <t>*Y</t>
    </r>
    <r>
      <rPr>
        <vertAlign val="subscript"/>
        <sz val="12"/>
        <color indexed="10"/>
        <rFont val="Arial"/>
        <family val="2"/>
      </rPr>
      <t>AC</t>
    </r>
    <r>
      <rPr>
        <sz val="12"/>
        <color indexed="10"/>
        <rFont val="Arial"/>
        <family val="2"/>
      </rPr>
      <t>-</t>
    </r>
    <r>
      <rPr>
        <i/>
        <sz val="12"/>
        <color indexed="10"/>
        <rFont val="Arial"/>
        <family val="2"/>
      </rPr>
      <t>Y</t>
    </r>
    <r>
      <rPr>
        <vertAlign val="subscript"/>
        <sz val="12"/>
        <color indexed="10"/>
        <rFont val="Arial"/>
        <family val="2"/>
      </rPr>
      <t>H,ANA</t>
    </r>
    <r>
      <rPr>
        <sz val="12"/>
        <color indexed="10"/>
        <rFont val="Arial"/>
        <family val="2"/>
      </rPr>
      <t>)/</t>
    </r>
    <r>
      <rPr>
        <i/>
        <sz val="12"/>
        <color indexed="10"/>
        <rFont val="Arial"/>
        <family val="2"/>
      </rPr>
      <t>i</t>
    </r>
    <r>
      <rPr>
        <vertAlign val="subscript"/>
        <sz val="12"/>
        <color indexed="10"/>
        <rFont val="Arial"/>
        <family val="2"/>
      </rPr>
      <t>COD_H2</t>
    </r>
  </si>
  <si>
    <r>
      <t>K</t>
    </r>
    <r>
      <rPr>
        <vertAlign val="subscript"/>
        <sz val="12"/>
        <color indexed="8"/>
        <rFont val="Arial"/>
        <family val="2"/>
      </rPr>
      <t>C</t>
    </r>
    <r>
      <rPr>
        <sz val="12"/>
        <color indexed="8"/>
        <rFont val="Arial"/>
        <family val="2"/>
      </rPr>
      <t>*[</t>
    </r>
    <r>
      <rPr>
        <i/>
        <sz val="12"/>
        <color indexed="8"/>
        <rFont val="Arial"/>
        <family val="2"/>
      </rPr>
      <t>S</t>
    </r>
    <r>
      <rPr>
        <vertAlign val="subscript"/>
        <sz val="12"/>
        <color indexed="8"/>
        <rFont val="Arial"/>
        <family val="2"/>
      </rPr>
      <t>BSC</t>
    </r>
    <r>
      <rPr>
        <sz val="12"/>
        <color indexed="8"/>
        <rFont val="Arial"/>
        <family val="2"/>
      </rPr>
      <t>/(</t>
    </r>
    <r>
      <rPr>
        <i/>
        <sz val="12"/>
        <color indexed="8"/>
        <rFont val="Arial"/>
        <family val="2"/>
      </rPr>
      <t>K</t>
    </r>
    <r>
      <rPr>
        <vertAlign val="subscript"/>
        <sz val="12"/>
        <color indexed="8"/>
        <rFont val="Arial"/>
        <family val="2"/>
      </rPr>
      <t>S,ANA</t>
    </r>
    <r>
      <rPr>
        <sz val="12"/>
        <color indexed="8"/>
        <rFont val="Arial"/>
        <family val="2"/>
      </rPr>
      <t>+</t>
    </r>
    <r>
      <rPr>
        <i/>
        <sz val="12"/>
        <color indexed="8"/>
        <rFont val="Arial"/>
        <family val="2"/>
      </rPr>
      <t>S</t>
    </r>
    <r>
      <rPr>
        <vertAlign val="subscript"/>
        <sz val="12"/>
        <color indexed="8"/>
        <rFont val="Arial"/>
        <family val="2"/>
      </rPr>
      <t>BSC</t>
    </r>
    <r>
      <rPr>
        <sz val="12"/>
        <color indexed="8"/>
        <rFont val="Arial"/>
        <family val="2"/>
      </rPr>
      <t>)]*</t>
    </r>
    <r>
      <rPr>
        <sz val="12"/>
        <color indexed="10"/>
        <rFont val="Arial"/>
        <family val="2"/>
      </rPr>
      <t>[</t>
    </r>
    <r>
      <rPr>
        <i/>
        <sz val="12"/>
        <color indexed="10"/>
        <rFont val="Arial"/>
        <family val="2"/>
      </rPr>
      <t>N</t>
    </r>
    <r>
      <rPr>
        <vertAlign val="subscript"/>
        <sz val="12"/>
        <color indexed="10"/>
        <rFont val="Arial"/>
        <family val="2"/>
      </rPr>
      <t>H3</t>
    </r>
    <r>
      <rPr>
        <sz val="12"/>
        <color indexed="10"/>
        <rFont val="Arial"/>
        <family val="2"/>
      </rPr>
      <t>/(</t>
    </r>
    <r>
      <rPr>
        <i/>
        <sz val="12"/>
        <color indexed="10"/>
        <rFont val="Arial"/>
        <family val="2"/>
      </rPr>
      <t>K</t>
    </r>
    <r>
      <rPr>
        <vertAlign val="subscript"/>
        <sz val="12"/>
        <color indexed="10"/>
        <rFont val="Arial"/>
        <family val="2"/>
      </rPr>
      <t>NA</t>
    </r>
    <r>
      <rPr>
        <sz val="12"/>
        <color indexed="10"/>
        <rFont val="Arial"/>
        <family val="2"/>
      </rPr>
      <t>+</t>
    </r>
    <r>
      <rPr>
        <i/>
        <sz val="12"/>
        <color indexed="10"/>
        <rFont val="Arial"/>
        <family val="2"/>
      </rPr>
      <t>N</t>
    </r>
    <r>
      <rPr>
        <vertAlign val="subscript"/>
        <sz val="12"/>
        <color indexed="10"/>
        <rFont val="Arial"/>
        <family val="2"/>
      </rPr>
      <t>H3</t>
    </r>
    <r>
      <rPr>
        <sz val="12"/>
        <color indexed="10"/>
        <rFont val="Arial"/>
        <family val="2"/>
      </rPr>
      <t>)]</t>
    </r>
    <r>
      <rPr>
        <sz val="12"/>
        <rFont val="Arial"/>
        <family val="2"/>
      </rPr>
      <t>*</t>
    </r>
    <r>
      <rPr>
        <sz val="12"/>
        <color indexed="10"/>
        <rFont val="Arial"/>
        <family val="2"/>
      </rPr>
      <t>[</t>
    </r>
    <r>
      <rPr>
        <i/>
        <sz val="12"/>
        <color indexed="10"/>
        <rFont val="Arial"/>
        <family val="2"/>
      </rPr>
      <t>P</t>
    </r>
    <r>
      <rPr>
        <vertAlign val="subscript"/>
        <sz val="12"/>
        <color indexed="10"/>
        <rFont val="Arial"/>
        <family val="2"/>
      </rPr>
      <t>O4</t>
    </r>
    <r>
      <rPr>
        <sz val="12"/>
        <color indexed="10"/>
        <rFont val="Arial"/>
        <family val="2"/>
      </rPr>
      <t>/(</t>
    </r>
    <r>
      <rPr>
        <i/>
        <sz val="12"/>
        <color indexed="10"/>
        <rFont val="Arial"/>
        <family val="2"/>
      </rPr>
      <t>K</t>
    </r>
    <r>
      <rPr>
        <vertAlign val="subscript"/>
        <sz val="12"/>
        <color indexed="10"/>
        <rFont val="Arial"/>
        <family val="2"/>
      </rPr>
      <t>LP,GRO</t>
    </r>
    <r>
      <rPr>
        <sz val="12"/>
        <color indexed="10"/>
        <rFont val="Arial"/>
        <family val="2"/>
      </rPr>
      <t>+</t>
    </r>
    <r>
      <rPr>
        <i/>
        <sz val="12"/>
        <color indexed="10"/>
        <rFont val="Arial"/>
        <family val="2"/>
      </rPr>
      <t>P</t>
    </r>
    <r>
      <rPr>
        <vertAlign val="subscript"/>
        <sz val="12"/>
        <color indexed="10"/>
        <rFont val="Arial"/>
        <family val="2"/>
      </rPr>
      <t>O4</t>
    </r>
    <r>
      <rPr>
        <sz val="12"/>
        <color indexed="10"/>
        <rFont val="Arial"/>
        <family val="2"/>
      </rPr>
      <t>)]</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Z</t>
    </r>
    <r>
      <rPr>
        <vertAlign val="subscript"/>
        <sz val="12"/>
        <color indexed="8"/>
        <rFont val="Arial"/>
        <family val="2"/>
      </rPr>
      <t>H</t>
    </r>
  </si>
  <si>
    <r>
      <t>Growth of Z</t>
    </r>
    <r>
      <rPr>
        <b/>
        <vertAlign val="subscript"/>
        <sz val="10"/>
        <color indexed="8"/>
        <rFont val="Arial"/>
        <family val="2"/>
      </rPr>
      <t>A</t>
    </r>
  </si>
  <si>
    <r>
      <t>-</t>
    </r>
    <r>
      <rPr>
        <i/>
        <sz val="12"/>
        <color indexed="8"/>
        <rFont val="Arial"/>
        <family val="2"/>
      </rPr>
      <t>f</t>
    </r>
    <r>
      <rPr>
        <vertAlign val="subscript"/>
        <sz val="12"/>
        <color indexed="8"/>
        <rFont val="Arial"/>
        <family val="2"/>
      </rPr>
      <t>P,ZA</t>
    </r>
  </si>
  <si>
    <r>
      <t>-</t>
    </r>
    <r>
      <rPr>
        <i/>
        <sz val="12"/>
        <color indexed="8"/>
        <rFont val="Arial"/>
        <family val="2"/>
      </rPr>
      <t>f</t>
    </r>
    <r>
      <rPr>
        <vertAlign val="subscript"/>
        <sz val="12"/>
        <color indexed="8"/>
        <rFont val="Arial"/>
        <family val="2"/>
      </rPr>
      <t>N,ZA</t>
    </r>
    <r>
      <rPr>
        <sz val="12"/>
        <color indexed="8"/>
        <rFont val="Arial"/>
        <family val="2"/>
      </rPr>
      <t>-1</t>
    </r>
    <r>
      <rPr>
        <i/>
        <sz val="12"/>
        <color indexed="8"/>
        <rFont val="Arial"/>
        <family val="2"/>
      </rPr>
      <t>/Y</t>
    </r>
    <r>
      <rPr>
        <vertAlign val="subscript"/>
        <sz val="12"/>
        <color indexed="8"/>
        <rFont val="Arial"/>
        <family val="2"/>
      </rPr>
      <t>A</t>
    </r>
  </si>
  <si>
    <r>
      <t>μ</t>
    </r>
    <r>
      <rPr>
        <vertAlign val="subscript"/>
        <sz val="12"/>
        <color indexed="8"/>
        <rFont val="Arial"/>
        <family val="2"/>
      </rPr>
      <t>A</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O,AUT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K</t>
    </r>
    <r>
      <rPr>
        <vertAlign val="subscript"/>
        <sz val="12"/>
        <color indexed="8"/>
        <rFont val="Arial"/>
        <family val="2"/>
      </rPr>
      <t>NH</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sz val="12"/>
        <color indexed="10"/>
        <rFont val="Arial"/>
        <family val="2"/>
      </rPr>
      <t>[</t>
    </r>
    <r>
      <rPr>
        <i/>
        <sz val="12"/>
        <color indexed="10"/>
        <rFont val="Arial"/>
        <family val="2"/>
      </rPr>
      <t>P</t>
    </r>
    <r>
      <rPr>
        <vertAlign val="subscript"/>
        <sz val="12"/>
        <color indexed="10"/>
        <rFont val="Arial"/>
        <family val="2"/>
      </rPr>
      <t>O4</t>
    </r>
    <r>
      <rPr>
        <sz val="12"/>
        <color indexed="10"/>
        <rFont val="Arial"/>
        <family val="2"/>
      </rPr>
      <t>/(</t>
    </r>
    <r>
      <rPr>
        <i/>
        <sz val="12"/>
        <color indexed="10"/>
        <rFont val="Arial"/>
        <family val="2"/>
      </rPr>
      <t>K</t>
    </r>
    <r>
      <rPr>
        <vertAlign val="subscript"/>
        <sz val="12"/>
        <color indexed="10"/>
        <rFont val="Arial"/>
        <family val="2"/>
      </rPr>
      <t>LP,GRO</t>
    </r>
    <r>
      <rPr>
        <sz val="12"/>
        <color indexed="10"/>
        <rFont val="Arial"/>
        <family val="2"/>
      </rPr>
      <t>+</t>
    </r>
    <r>
      <rPr>
        <i/>
        <sz val="12"/>
        <color indexed="10"/>
        <rFont val="Arial"/>
        <family val="2"/>
      </rPr>
      <t>P</t>
    </r>
    <r>
      <rPr>
        <vertAlign val="subscript"/>
        <sz val="12"/>
        <color indexed="10"/>
        <rFont val="Arial"/>
        <family val="2"/>
      </rPr>
      <t>O4</t>
    </r>
    <r>
      <rPr>
        <sz val="12"/>
        <color indexed="10"/>
        <rFont val="Arial"/>
        <family val="2"/>
      </rPr>
      <t>)]</t>
    </r>
    <r>
      <rPr>
        <sz val="12"/>
        <color indexed="8"/>
        <rFont val="Arial"/>
        <family val="2"/>
      </rPr>
      <t>*</t>
    </r>
    <r>
      <rPr>
        <i/>
        <sz val="12"/>
        <color indexed="8"/>
        <rFont val="Arial"/>
        <family val="2"/>
      </rPr>
      <t>Z</t>
    </r>
    <r>
      <rPr>
        <vertAlign val="subscript"/>
        <sz val="12"/>
        <color indexed="8"/>
        <rFont val="Arial"/>
        <family val="2"/>
      </rPr>
      <t>A</t>
    </r>
  </si>
  <si>
    <r>
      <t>Decay of Z</t>
    </r>
    <r>
      <rPr>
        <b/>
        <vertAlign val="subscript"/>
        <sz val="10"/>
        <color indexed="8"/>
        <rFont val="Arial"/>
        <family val="2"/>
      </rPr>
      <t>A</t>
    </r>
  </si>
  <si>
    <r>
      <t>1-</t>
    </r>
    <r>
      <rPr>
        <i/>
        <sz val="12"/>
        <color indexed="8"/>
        <rFont val="Arial"/>
        <family val="2"/>
      </rPr>
      <t>f</t>
    </r>
    <r>
      <rPr>
        <vertAlign val="subscript"/>
        <sz val="12"/>
        <color indexed="8"/>
        <rFont val="Arial"/>
        <family val="2"/>
      </rPr>
      <t>EP,A</t>
    </r>
  </si>
  <si>
    <r>
      <t>f</t>
    </r>
    <r>
      <rPr>
        <vertAlign val="subscript"/>
        <sz val="12"/>
        <color indexed="8"/>
        <rFont val="Arial"/>
        <family val="2"/>
      </rPr>
      <t>P,ZA</t>
    </r>
    <r>
      <rPr>
        <i/>
        <sz val="12"/>
        <color indexed="8"/>
        <rFont val="Arial"/>
        <family val="2"/>
      </rPr>
      <t>-f</t>
    </r>
    <r>
      <rPr>
        <vertAlign val="subscript"/>
        <sz val="12"/>
        <color indexed="8"/>
        <rFont val="Arial"/>
        <family val="2"/>
      </rPr>
      <t>EP,A</t>
    </r>
    <r>
      <rPr>
        <sz val="12"/>
        <color indexed="8"/>
        <rFont val="Arial"/>
        <family val="2"/>
      </rPr>
      <t>*</t>
    </r>
    <r>
      <rPr>
        <i/>
        <sz val="12"/>
        <color indexed="8"/>
        <rFont val="Arial"/>
        <family val="2"/>
      </rPr>
      <t>f</t>
    </r>
    <r>
      <rPr>
        <vertAlign val="subscript"/>
        <sz val="12"/>
        <color indexed="8"/>
        <rFont val="Arial"/>
        <family val="2"/>
      </rPr>
      <t>P,ZEA</t>
    </r>
  </si>
  <si>
    <r>
      <t>f</t>
    </r>
    <r>
      <rPr>
        <vertAlign val="subscript"/>
        <sz val="12"/>
        <color indexed="8"/>
        <rFont val="Arial"/>
        <family val="2"/>
      </rPr>
      <t>N,ZA</t>
    </r>
    <r>
      <rPr>
        <i/>
        <sz val="12"/>
        <color indexed="8"/>
        <rFont val="Arial"/>
        <family val="2"/>
      </rPr>
      <t>-f</t>
    </r>
    <r>
      <rPr>
        <vertAlign val="subscript"/>
        <sz val="12"/>
        <color indexed="8"/>
        <rFont val="Arial"/>
        <family val="2"/>
      </rPr>
      <t>EP,A</t>
    </r>
    <r>
      <rPr>
        <sz val="12"/>
        <color indexed="8"/>
        <rFont val="Arial"/>
        <family val="2"/>
      </rPr>
      <t>*</t>
    </r>
    <r>
      <rPr>
        <i/>
        <sz val="12"/>
        <color indexed="8"/>
        <rFont val="Arial"/>
        <family val="2"/>
      </rPr>
      <t>f</t>
    </r>
    <r>
      <rPr>
        <vertAlign val="subscript"/>
        <sz val="12"/>
        <color indexed="8"/>
        <rFont val="Arial"/>
        <family val="2"/>
      </rPr>
      <t>N,ZEA</t>
    </r>
  </si>
  <si>
    <r>
      <t>b</t>
    </r>
    <r>
      <rPr>
        <vertAlign val="subscript"/>
        <sz val="12"/>
        <color indexed="8"/>
        <rFont val="Arial"/>
        <family val="2"/>
      </rPr>
      <t>A</t>
    </r>
    <r>
      <rPr>
        <sz val="12"/>
        <color indexed="8"/>
        <rFont val="Arial"/>
        <family val="2"/>
      </rPr>
      <t>*</t>
    </r>
    <r>
      <rPr>
        <i/>
        <sz val="12"/>
        <color indexed="8"/>
        <rFont val="Arial"/>
        <family val="2"/>
      </rPr>
      <t>Z</t>
    </r>
    <r>
      <rPr>
        <vertAlign val="subscript"/>
        <sz val="12"/>
        <color indexed="8"/>
        <rFont val="Arial"/>
        <family val="2"/>
      </rPr>
      <t>A</t>
    </r>
  </si>
  <si>
    <r>
      <t>P</t>
    </r>
    <r>
      <rPr>
        <vertAlign val="subscript"/>
        <sz val="12"/>
        <rFont val="Arial"/>
        <family val="2"/>
      </rPr>
      <t>PP</t>
    </r>
    <r>
      <rPr>
        <vertAlign val="subscript"/>
        <sz val="10"/>
        <rFont val="Arial"/>
        <family val="2"/>
      </rPr>
      <t>-</t>
    </r>
    <r>
      <rPr>
        <vertAlign val="subscript"/>
        <sz val="12"/>
        <rFont val="Arial"/>
        <family val="2"/>
      </rPr>
      <t>LO</t>
    </r>
  </si>
  <si>
    <r>
      <t>Aerobic growth of Z</t>
    </r>
    <r>
      <rPr>
        <b/>
        <vertAlign val="subscript"/>
        <sz val="10"/>
        <color indexed="8"/>
        <rFont val="Arial"/>
        <family val="2"/>
      </rPr>
      <t>P</t>
    </r>
    <r>
      <rPr>
        <b/>
        <sz val="10"/>
        <color indexed="8"/>
        <rFont val="Arial"/>
        <family val="2"/>
      </rPr>
      <t xml:space="preserve"> on S</t>
    </r>
    <r>
      <rPr>
        <b/>
        <vertAlign val="subscript"/>
        <sz val="10"/>
        <color indexed="8"/>
        <rFont val="Arial"/>
        <family val="2"/>
      </rPr>
      <t>PHB</t>
    </r>
    <r>
      <rPr>
        <b/>
        <sz val="10"/>
        <color indexed="8"/>
        <rFont val="Arial"/>
        <family val="2"/>
      </rPr>
      <t xml:space="preserve"> with N</t>
    </r>
    <r>
      <rPr>
        <b/>
        <vertAlign val="subscript"/>
        <sz val="10"/>
        <color indexed="8"/>
        <rFont val="Arial"/>
        <family val="2"/>
      </rPr>
      <t>H3</t>
    </r>
  </si>
  <si>
    <r>
      <t>-1/</t>
    </r>
    <r>
      <rPr>
        <i/>
        <sz val="12"/>
        <color indexed="8"/>
        <rFont val="Arial"/>
        <family val="2"/>
      </rPr>
      <t>Y</t>
    </r>
    <r>
      <rPr>
        <vertAlign val="subscript"/>
        <sz val="12"/>
        <color indexed="8"/>
        <rFont val="Arial"/>
        <family val="2"/>
      </rPr>
      <t>P</t>
    </r>
  </si>
  <si>
    <r>
      <t>f</t>
    </r>
    <r>
      <rPr>
        <vertAlign val="subscript"/>
        <sz val="12"/>
        <color indexed="8"/>
        <rFont val="Arial"/>
        <family val="2"/>
      </rPr>
      <t>PP</t>
    </r>
    <r>
      <rPr>
        <i/>
        <sz val="12"/>
        <color indexed="8"/>
        <rFont val="Arial"/>
        <family val="2"/>
      </rPr>
      <t>*f</t>
    </r>
    <r>
      <rPr>
        <vertAlign val="subscript"/>
        <sz val="12"/>
        <color indexed="8"/>
        <rFont val="Arial"/>
        <family val="2"/>
      </rPr>
      <t>P,UPT1</t>
    </r>
    <r>
      <rPr>
        <sz val="12"/>
        <color indexed="8"/>
        <rFont val="Arial"/>
        <family val="2"/>
      </rPr>
      <t>/</t>
    </r>
    <r>
      <rPr>
        <i/>
        <sz val="12"/>
        <color indexed="8"/>
        <rFont val="Arial"/>
        <family val="2"/>
      </rPr>
      <t>Y</t>
    </r>
    <r>
      <rPr>
        <vertAlign val="subscript"/>
        <sz val="12"/>
        <color indexed="8"/>
        <rFont val="Arial"/>
        <family val="2"/>
      </rPr>
      <t>P</t>
    </r>
  </si>
  <si>
    <r>
      <t>(1-</t>
    </r>
    <r>
      <rPr>
        <i/>
        <sz val="12"/>
        <color indexed="8"/>
        <rFont val="Arial"/>
        <family val="2"/>
      </rPr>
      <t>f</t>
    </r>
    <r>
      <rPr>
        <vertAlign val="subscript"/>
        <sz val="12"/>
        <color indexed="8"/>
        <rFont val="Arial"/>
        <family val="2"/>
      </rPr>
      <t>PP</t>
    </r>
    <r>
      <rPr>
        <sz val="12"/>
        <color indexed="8"/>
        <rFont val="Arial"/>
        <family val="2"/>
      </rPr>
      <t>)</t>
    </r>
    <r>
      <rPr>
        <i/>
        <sz val="12"/>
        <color indexed="8"/>
        <rFont val="Arial"/>
        <family val="2"/>
      </rPr>
      <t>*f</t>
    </r>
    <r>
      <rPr>
        <vertAlign val="subscript"/>
        <sz val="12"/>
        <color indexed="8"/>
        <rFont val="Arial"/>
        <family val="2"/>
      </rPr>
      <t>P,UPT1</t>
    </r>
    <r>
      <rPr>
        <sz val="12"/>
        <color indexed="8"/>
        <rFont val="Arial"/>
        <family val="2"/>
      </rPr>
      <t>/</t>
    </r>
    <r>
      <rPr>
        <i/>
        <sz val="12"/>
        <color indexed="8"/>
        <rFont val="Arial"/>
        <family val="2"/>
      </rPr>
      <t>Y</t>
    </r>
    <r>
      <rPr>
        <vertAlign val="subscript"/>
        <sz val="12"/>
        <color indexed="8"/>
        <rFont val="Arial"/>
        <family val="2"/>
      </rPr>
      <t>P</t>
    </r>
  </si>
  <si>
    <r>
      <t>-</t>
    </r>
    <r>
      <rPr>
        <i/>
        <sz val="12"/>
        <color indexed="8"/>
        <rFont val="Arial"/>
        <family val="2"/>
      </rPr>
      <t>f</t>
    </r>
    <r>
      <rPr>
        <vertAlign val="subscript"/>
        <sz val="12"/>
        <color indexed="8"/>
        <rFont val="Arial"/>
        <family val="2"/>
      </rPr>
      <t>P,UPT1</t>
    </r>
    <r>
      <rPr>
        <i/>
        <sz val="12"/>
        <color indexed="8"/>
        <rFont val="Arial"/>
        <family val="2"/>
      </rPr>
      <t>/Y</t>
    </r>
    <r>
      <rPr>
        <vertAlign val="subscript"/>
        <sz val="12"/>
        <color indexed="8"/>
        <rFont val="Arial"/>
        <family val="2"/>
      </rPr>
      <t>P</t>
    </r>
    <r>
      <rPr>
        <sz val="12"/>
        <color indexed="8"/>
        <rFont val="Arial"/>
        <family val="2"/>
      </rPr>
      <t>-</t>
    </r>
    <r>
      <rPr>
        <i/>
        <sz val="12"/>
        <color indexed="8"/>
        <rFont val="Arial"/>
        <family val="2"/>
      </rPr>
      <t>f</t>
    </r>
    <r>
      <rPr>
        <vertAlign val="subscript"/>
        <sz val="12"/>
        <color indexed="8"/>
        <rFont val="Arial"/>
        <family val="2"/>
      </rPr>
      <t>P,ZP</t>
    </r>
  </si>
  <si>
    <r>
      <t>-</t>
    </r>
    <r>
      <rPr>
        <i/>
        <sz val="12"/>
        <color indexed="8"/>
        <rFont val="Arial"/>
        <family val="2"/>
      </rPr>
      <t>f</t>
    </r>
    <r>
      <rPr>
        <vertAlign val="subscript"/>
        <sz val="12"/>
        <color indexed="8"/>
        <rFont val="Arial"/>
        <family val="2"/>
      </rPr>
      <t>N,ZP</t>
    </r>
  </si>
  <si>
    <r>
      <t>-(1-</t>
    </r>
    <r>
      <rPr>
        <i/>
        <sz val="12"/>
        <color indexed="8"/>
        <rFont val="Arial"/>
        <family val="2"/>
      </rPr>
      <t>Y</t>
    </r>
    <r>
      <rPr>
        <vertAlign val="subscript"/>
        <sz val="12"/>
        <color indexed="8"/>
        <rFont val="Arial"/>
        <family val="2"/>
      </rPr>
      <t>P</t>
    </r>
    <r>
      <rPr>
        <sz val="12"/>
        <color indexed="8"/>
        <rFont val="Arial"/>
        <family val="2"/>
      </rPr>
      <t>)</t>
    </r>
    <r>
      <rPr>
        <i/>
        <sz val="12"/>
        <color indexed="8"/>
        <rFont val="Arial"/>
        <family val="2"/>
      </rPr>
      <t>/Y</t>
    </r>
    <r>
      <rPr>
        <vertAlign val="subscript"/>
        <sz val="12"/>
        <color indexed="8"/>
        <rFont val="Arial"/>
        <family val="2"/>
      </rPr>
      <t>P</t>
    </r>
  </si>
  <si>
    <r>
      <t>μ</t>
    </r>
    <r>
      <rPr>
        <vertAlign val="subscript"/>
        <sz val="12"/>
        <color indexed="8"/>
        <rFont val="Arial"/>
        <family val="2"/>
      </rPr>
      <t>P1</t>
    </r>
    <r>
      <rPr>
        <sz val="10"/>
        <color indexed="8"/>
        <rFont val="Arial"/>
        <family val="2"/>
      </rPr>
      <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PHB</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r>
      <rPr>
        <i/>
        <sz val="12"/>
        <color indexed="8"/>
        <rFont val="Arial"/>
        <family val="2"/>
      </rPr>
      <t>K</t>
    </r>
    <r>
      <rPr>
        <vertAlign val="subscript"/>
        <sz val="12"/>
        <color indexed="8"/>
        <rFont val="Arial"/>
        <family val="2"/>
      </rPr>
      <t>S,P1</t>
    </r>
    <r>
      <rPr>
        <sz val="12"/>
        <color indexed="8"/>
        <rFont val="Arial"/>
        <family val="2"/>
      </rPr>
      <t>+(</t>
    </r>
    <r>
      <rPr>
        <i/>
        <sz val="12"/>
        <color indexed="8"/>
        <rFont val="Arial"/>
        <family val="2"/>
      </rPr>
      <t>S</t>
    </r>
    <r>
      <rPr>
        <vertAlign val="subscript"/>
        <sz val="12"/>
        <color indexed="8"/>
        <rFont val="Arial"/>
        <family val="2"/>
      </rPr>
      <t>PHB</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K</t>
    </r>
    <r>
      <rPr>
        <vertAlign val="subscript"/>
        <sz val="12"/>
        <color indexed="8"/>
        <rFont val="Arial"/>
        <family val="2"/>
      </rPr>
      <t>NA</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K</t>
    </r>
    <r>
      <rPr>
        <vertAlign val="subscript"/>
        <sz val="12"/>
        <color indexed="8"/>
        <rFont val="Arial"/>
        <family val="2"/>
      </rPr>
      <t>LP,UPT</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Z</t>
    </r>
    <r>
      <rPr>
        <vertAlign val="subscript"/>
        <sz val="12"/>
        <color indexed="8"/>
        <rFont val="Arial"/>
        <family val="2"/>
      </rPr>
      <t>P</t>
    </r>
  </si>
  <si>
    <r>
      <t>P</t>
    </r>
    <r>
      <rPr>
        <vertAlign val="subscript"/>
        <sz val="12"/>
        <rFont val="Arial"/>
        <family val="2"/>
      </rPr>
      <t>PP</t>
    </r>
    <r>
      <rPr>
        <vertAlign val="subscript"/>
        <sz val="10"/>
        <rFont val="Arial"/>
        <family val="2"/>
      </rPr>
      <t>-</t>
    </r>
    <r>
      <rPr>
        <vertAlign val="subscript"/>
        <sz val="12"/>
        <rFont val="Arial"/>
        <family val="2"/>
      </rPr>
      <t>HI</t>
    </r>
  </si>
  <si>
    <r>
      <t>Aerobic growth of Z</t>
    </r>
    <r>
      <rPr>
        <b/>
        <vertAlign val="subscript"/>
        <sz val="10"/>
        <color indexed="8"/>
        <rFont val="Arial"/>
        <family val="2"/>
      </rPr>
      <t>P</t>
    </r>
    <r>
      <rPr>
        <b/>
        <sz val="10"/>
        <color indexed="8"/>
        <rFont val="Arial"/>
        <family val="2"/>
      </rPr>
      <t xml:space="preserve"> on S</t>
    </r>
    <r>
      <rPr>
        <b/>
        <vertAlign val="subscript"/>
        <sz val="10"/>
        <color indexed="8"/>
        <rFont val="Arial"/>
        <family val="2"/>
      </rPr>
      <t>PHB</t>
    </r>
    <r>
      <rPr>
        <b/>
        <sz val="10"/>
        <color indexed="8"/>
        <rFont val="Arial"/>
        <family val="2"/>
      </rPr>
      <t xml:space="preserve"> with N</t>
    </r>
    <r>
      <rPr>
        <b/>
        <vertAlign val="subscript"/>
        <sz val="10"/>
        <color indexed="8"/>
        <rFont val="Arial"/>
        <family val="2"/>
      </rPr>
      <t>O3</t>
    </r>
  </si>
  <si>
    <r>
      <t>-(1-</t>
    </r>
    <r>
      <rPr>
        <i/>
        <sz val="12"/>
        <color indexed="8"/>
        <rFont val="Arial"/>
        <family val="2"/>
      </rPr>
      <t>Y</t>
    </r>
    <r>
      <rPr>
        <vertAlign val="subscript"/>
        <sz val="12"/>
        <color indexed="8"/>
        <rFont val="Arial"/>
        <family val="2"/>
      </rPr>
      <t>P</t>
    </r>
    <r>
      <rPr>
        <sz val="12"/>
        <color indexed="8"/>
        <rFont val="Arial"/>
        <family val="2"/>
      </rPr>
      <t>)/</t>
    </r>
    <r>
      <rPr>
        <i/>
        <sz val="12"/>
        <color indexed="8"/>
        <rFont val="Arial"/>
        <family val="2"/>
      </rPr>
      <t>Y</t>
    </r>
    <r>
      <rPr>
        <vertAlign val="subscript"/>
        <sz val="12"/>
        <color indexed="8"/>
        <rFont val="Arial"/>
        <family val="2"/>
      </rPr>
      <t>P</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f</t>
    </r>
    <r>
      <rPr>
        <vertAlign val="subscript"/>
        <sz val="12"/>
        <color indexed="10"/>
        <rFont val="Arial"/>
        <family val="2"/>
      </rPr>
      <t>N,ZP</t>
    </r>
  </si>
  <si>
    <r>
      <t>μ</t>
    </r>
    <r>
      <rPr>
        <vertAlign val="subscript"/>
        <sz val="12"/>
        <color indexed="8"/>
        <rFont val="Arial"/>
        <family val="2"/>
      </rPr>
      <t>P1</t>
    </r>
    <r>
      <rPr>
        <sz val="10"/>
        <color indexed="8"/>
        <rFont val="Arial"/>
        <family val="2"/>
      </rPr>
      <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PHB</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r>
      <rPr>
        <i/>
        <sz val="12"/>
        <color indexed="8"/>
        <rFont val="Arial"/>
        <family val="2"/>
      </rPr>
      <t>K</t>
    </r>
    <r>
      <rPr>
        <vertAlign val="subscript"/>
        <sz val="12"/>
        <color indexed="8"/>
        <rFont val="Arial"/>
        <family val="2"/>
      </rPr>
      <t>S,P1</t>
    </r>
    <r>
      <rPr>
        <sz val="12"/>
        <color indexed="8"/>
        <rFont val="Arial"/>
        <family val="2"/>
      </rPr>
      <t>+(</t>
    </r>
    <r>
      <rPr>
        <i/>
        <sz val="12"/>
        <color indexed="8"/>
        <rFont val="Arial"/>
        <family val="2"/>
      </rPr>
      <t>S</t>
    </r>
    <r>
      <rPr>
        <vertAlign val="subscript"/>
        <sz val="12"/>
        <color indexed="8"/>
        <rFont val="Arial"/>
        <family val="2"/>
      </rPr>
      <t>PHB</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NA</t>
    </r>
    <r>
      <rPr>
        <sz val="12"/>
        <color indexed="8"/>
        <rFont val="Arial"/>
        <family val="2"/>
      </rPr>
      <t>/(</t>
    </r>
    <r>
      <rPr>
        <i/>
        <sz val="12"/>
        <color indexed="8"/>
        <rFont val="Arial"/>
        <family val="2"/>
      </rPr>
      <t>K</t>
    </r>
    <r>
      <rPr>
        <vertAlign val="subscript"/>
        <sz val="12"/>
        <color indexed="8"/>
        <rFont val="Arial"/>
        <family val="2"/>
      </rPr>
      <t>NA</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K</t>
    </r>
    <r>
      <rPr>
        <vertAlign val="subscript"/>
        <sz val="12"/>
        <color indexed="8"/>
        <rFont val="Arial"/>
        <family val="2"/>
      </rPr>
      <t>LP,UPT</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Z</t>
    </r>
    <r>
      <rPr>
        <vertAlign val="subscript"/>
        <sz val="12"/>
        <color indexed="8"/>
        <rFont val="Arial"/>
        <family val="2"/>
      </rPr>
      <t>P</t>
    </r>
  </si>
  <si>
    <r>
      <t>g S</t>
    </r>
    <r>
      <rPr>
        <vertAlign val="subscript"/>
        <sz val="8"/>
        <rFont val="Arial"/>
        <family val="2"/>
      </rPr>
      <t>F</t>
    </r>
    <r>
      <rPr>
        <sz val="8"/>
        <rFont val="Arial"/>
        <family val="2"/>
      </rPr>
      <t>.g XC</t>
    </r>
    <r>
      <rPr>
        <vertAlign val="subscript"/>
        <sz val="8"/>
        <rFont val="Arial"/>
        <family val="2"/>
      </rPr>
      <t>B</t>
    </r>
    <r>
      <rPr>
        <vertAlign val="superscript"/>
        <sz val="10"/>
        <rFont val="Arial"/>
        <family val="2"/>
      </rPr>
      <t>-1</t>
    </r>
  </si>
  <si>
    <r>
      <t>Aerobic growth of Z</t>
    </r>
    <r>
      <rPr>
        <b/>
        <vertAlign val="subscript"/>
        <sz val="10"/>
        <color indexed="8"/>
        <rFont val="Arial"/>
        <family val="2"/>
      </rPr>
      <t>P</t>
    </r>
    <r>
      <rPr>
        <b/>
        <sz val="10"/>
        <color indexed="8"/>
        <rFont val="Arial"/>
        <family val="2"/>
      </rPr>
      <t xml:space="preserve"> on S</t>
    </r>
    <r>
      <rPr>
        <b/>
        <vertAlign val="subscript"/>
        <sz val="10"/>
        <color indexed="8"/>
        <rFont val="Arial"/>
        <family val="2"/>
      </rPr>
      <t>PHB</t>
    </r>
    <r>
      <rPr>
        <b/>
        <sz val="10"/>
        <color indexed="8"/>
        <rFont val="Arial"/>
        <family val="2"/>
      </rPr>
      <t xml:space="preserve"> with N</t>
    </r>
    <r>
      <rPr>
        <b/>
        <vertAlign val="subscript"/>
        <sz val="10"/>
        <color indexed="8"/>
        <rFont val="Arial"/>
        <family val="2"/>
      </rPr>
      <t xml:space="preserve">H3 </t>
    </r>
    <r>
      <rPr>
        <b/>
        <sz val="10"/>
        <color indexed="8"/>
        <rFont val="Arial"/>
        <family val="2"/>
      </rPr>
      <t>/ P</t>
    </r>
    <r>
      <rPr>
        <b/>
        <vertAlign val="subscript"/>
        <sz val="10"/>
        <color indexed="8"/>
        <rFont val="Arial"/>
        <family val="2"/>
      </rPr>
      <t>O4</t>
    </r>
    <r>
      <rPr>
        <b/>
        <sz val="10"/>
        <color indexed="8"/>
        <rFont val="Arial"/>
        <family val="2"/>
      </rPr>
      <t xml:space="preserve"> limited</t>
    </r>
  </si>
  <si>
    <r>
      <t>-</t>
    </r>
    <r>
      <rPr>
        <i/>
        <sz val="12"/>
        <color indexed="8"/>
        <rFont val="Arial"/>
        <family val="2"/>
      </rPr>
      <t>f</t>
    </r>
    <r>
      <rPr>
        <vertAlign val="subscript"/>
        <sz val="12"/>
        <color indexed="8"/>
        <rFont val="Arial"/>
        <family val="2"/>
      </rPr>
      <t>P,ZP</t>
    </r>
  </si>
  <si>
    <r>
      <t>μ</t>
    </r>
    <r>
      <rPr>
        <vertAlign val="subscript"/>
        <sz val="12"/>
        <color indexed="8"/>
        <rFont val="Arial"/>
        <family val="2"/>
      </rPr>
      <t>P2</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PHB</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r>
      <rPr>
        <i/>
        <sz val="12"/>
        <color indexed="8"/>
        <rFont val="Arial"/>
        <family val="2"/>
      </rPr>
      <t>K</t>
    </r>
    <r>
      <rPr>
        <vertAlign val="subscript"/>
        <sz val="12"/>
        <color indexed="8"/>
        <rFont val="Arial"/>
        <family val="2"/>
      </rPr>
      <t>S,P2</t>
    </r>
    <r>
      <rPr>
        <sz val="12"/>
        <color indexed="8"/>
        <rFont val="Arial"/>
        <family val="2"/>
      </rPr>
      <t>+(</t>
    </r>
    <r>
      <rPr>
        <i/>
        <sz val="12"/>
        <color indexed="8"/>
        <rFont val="Arial"/>
        <family val="2"/>
      </rPr>
      <t>S</t>
    </r>
    <r>
      <rPr>
        <vertAlign val="subscript"/>
        <sz val="12"/>
        <color indexed="8"/>
        <rFont val="Arial"/>
        <family val="2"/>
      </rPr>
      <t>PHB</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K</t>
    </r>
    <r>
      <rPr>
        <vertAlign val="subscript"/>
        <sz val="12"/>
        <color indexed="8"/>
        <rFont val="Arial"/>
        <family val="2"/>
      </rPr>
      <t>NA</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K</t>
    </r>
    <r>
      <rPr>
        <vertAlign val="subscript"/>
        <sz val="12"/>
        <color indexed="8"/>
        <rFont val="Arial"/>
        <family val="2"/>
      </rPr>
      <t>LP,UPT</t>
    </r>
    <r>
      <rPr>
        <sz val="12"/>
        <color indexed="8"/>
        <rFont val="Arial"/>
        <family val="2"/>
      </rPr>
      <t>/(</t>
    </r>
    <r>
      <rPr>
        <i/>
        <sz val="12"/>
        <color indexed="8"/>
        <rFont val="Arial"/>
        <family val="2"/>
      </rPr>
      <t>K</t>
    </r>
    <r>
      <rPr>
        <vertAlign val="subscript"/>
        <sz val="12"/>
        <color indexed="8"/>
        <rFont val="Arial"/>
        <family val="2"/>
      </rPr>
      <t>LP,UPT</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sz val="12"/>
        <color indexed="10"/>
        <rFont val="Arial"/>
        <family val="2"/>
      </rPr>
      <t>[</t>
    </r>
    <r>
      <rPr>
        <i/>
        <sz val="12"/>
        <color indexed="10"/>
        <rFont val="Arial"/>
        <family val="2"/>
      </rPr>
      <t>P</t>
    </r>
    <r>
      <rPr>
        <vertAlign val="subscript"/>
        <sz val="12"/>
        <color indexed="10"/>
        <rFont val="Arial"/>
        <family val="2"/>
      </rPr>
      <t>PP,LO</t>
    </r>
    <r>
      <rPr>
        <sz val="12"/>
        <color indexed="10"/>
        <rFont val="Arial"/>
        <family val="2"/>
      </rPr>
      <t>/(</t>
    </r>
    <r>
      <rPr>
        <i/>
        <sz val="12"/>
        <color indexed="10"/>
        <rFont val="Arial"/>
        <family val="2"/>
      </rPr>
      <t>K</t>
    </r>
    <r>
      <rPr>
        <vertAlign val="subscript"/>
        <sz val="12"/>
        <color indexed="10"/>
        <rFont val="Arial"/>
        <family val="2"/>
      </rPr>
      <t>XP</t>
    </r>
    <r>
      <rPr>
        <sz val="12"/>
        <color indexed="10"/>
        <rFont val="Arial"/>
        <family val="2"/>
      </rPr>
      <t>+</t>
    </r>
    <r>
      <rPr>
        <i/>
        <sz val="12"/>
        <color indexed="10"/>
        <rFont val="Arial"/>
        <family val="2"/>
      </rPr>
      <t>P</t>
    </r>
    <r>
      <rPr>
        <vertAlign val="subscript"/>
        <sz val="12"/>
        <color indexed="10"/>
        <rFont val="Arial"/>
        <family val="2"/>
      </rPr>
      <t>PP,LO</t>
    </r>
    <r>
      <rPr>
        <sz val="12"/>
        <color indexed="10"/>
        <rFont val="Arial"/>
        <family val="2"/>
      </rPr>
      <t>)]</t>
    </r>
    <r>
      <rPr>
        <sz val="12"/>
        <color indexed="8"/>
        <rFont val="Arial"/>
        <family val="2"/>
      </rPr>
      <t>*</t>
    </r>
    <r>
      <rPr>
        <i/>
        <sz val="12"/>
        <color indexed="8"/>
        <rFont val="Arial"/>
        <family val="2"/>
      </rPr>
      <t>Z</t>
    </r>
    <r>
      <rPr>
        <vertAlign val="subscript"/>
        <sz val="12"/>
        <color indexed="8"/>
        <rFont val="Arial"/>
        <family val="2"/>
      </rPr>
      <t>P</t>
    </r>
  </si>
  <si>
    <r>
      <t>Aerobic growth of Z</t>
    </r>
    <r>
      <rPr>
        <b/>
        <vertAlign val="subscript"/>
        <sz val="10"/>
        <color indexed="8"/>
        <rFont val="Arial"/>
        <family val="2"/>
      </rPr>
      <t>P</t>
    </r>
    <r>
      <rPr>
        <b/>
        <sz val="10"/>
        <color indexed="8"/>
        <rFont val="Arial"/>
        <family val="2"/>
      </rPr>
      <t xml:space="preserve"> on S</t>
    </r>
    <r>
      <rPr>
        <b/>
        <vertAlign val="subscript"/>
        <sz val="10"/>
        <color indexed="8"/>
        <rFont val="Arial"/>
        <family val="2"/>
      </rPr>
      <t>PHB</t>
    </r>
    <r>
      <rPr>
        <b/>
        <sz val="10"/>
        <color indexed="8"/>
        <rFont val="Arial"/>
        <family val="2"/>
      </rPr>
      <t xml:space="preserve"> with N</t>
    </r>
    <r>
      <rPr>
        <b/>
        <vertAlign val="subscript"/>
        <sz val="10"/>
        <color indexed="8"/>
        <rFont val="Arial"/>
        <family val="2"/>
      </rPr>
      <t xml:space="preserve">O3 </t>
    </r>
    <r>
      <rPr>
        <b/>
        <sz val="10"/>
        <color indexed="8"/>
        <rFont val="Arial"/>
        <family val="2"/>
      </rPr>
      <t>/ P</t>
    </r>
    <r>
      <rPr>
        <b/>
        <vertAlign val="subscript"/>
        <sz val="10"/>
        <color indexed="8"/>
        <rFont val="Arial"/>
        <family val="2"/>
      </rPr>
      <t>O4</t>
    </r>
    <r>
      <rPr>
        <b/>
        <sz val="10"/>
        <color indexed="8"/>
        <rFont val="Arial"/>
        <family val="2"/>
      </rPr>
      <t xml:space="preserve"> limited</t>
    </r>
  </si>
  <si>
    <r>
      <t>μ</t>
    </r>
    <r>
      <rPr>
        <vertAlign val="subscript"/>
        <sz val="12"/>
        <color indexed="8"/>
        <rFont val="Arial"/>
        <family val="2"/>
      </rPr>
      <t>P2</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PHB</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r>
      <rPr>
        <i/>
        <sz val="12"/>
        <color indexed="8"/>
        <rFont val="Arial"/>
        <family val="2"/>
      </rPr>
      <t>K</t>
    </r>
    <r>
      <rPr>
        <vertAlign val="subscript"/>
        <sz val="12"/>
        <color indexed="8"/>
        <rFont val="Arial"/>
        <family val="2"/>
      </rPr>
      <t>S,P2</t>
    </r>
    <r>
      <rPr>
        <sz val="12"/>
        <color indexed="8"/>
        <rFont val="Arial"/>
        <family val="2"/>
      </rPr>
      <t>+(</t>
    </r>
    <r>
      <rPr>
        <i/>
        <sz val="12"/>
        <color indexed="8"/>
        <rFont val="Arial"/>
        <family val="2"/>
      </rPr>
      <t>S</t>
    </r>
    <r>
      <rPr>
        <vertAlign val="subscript"/>
        <sz val="12"/>
        <color indexed="8"/>
        <rFont val="Arial"/>
        <family val="2"/>
      </rPr>
      <t>PHB</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NA</t>
    </r>
    <r>
      <rPr>
        <sz val="12"/>
        <color indexed="8"/>
        <rFont val="Arial"/>
        <family val="2"/>
      </rPr>
      <t>/(</t>
    </r>
    <r>
      <rPr>
        <i/>
        <sz val="12"/>
        <color indexed="8"/>
        <rFont val="Arial"/>
        <family val="2"/>
      </rPr>
      <t>K</t>
    </r>
    <r>
      <rPr>
        <vertAlign val="subscript"/>
        <sz val="12"/>
        <color indexed="8"/>
        <rFont val="Arial"/>
        <family val="2"/>
      </rPr>
      <t>NA</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K</t>
    </r>
    <r>
      <rPr>
        <vertAlign val="subscript"/>
        <sz val="12"/>
        <color indexed="8"/>
        <rFont val="Arial"/>
        <family val="2"/>
      </rPr>
      <t>LP,UPT</t>
    </r>
    <r>
      <rPr>
        <sz val="12"/>
        <color indexed="8"/>
        <rFont val="Arial"/>
        <family val="2"/>
      </rPr>
      <t>/(</t>
    </r>
    <r>
      <rPr>
        <i/>
        <sz val="12"/>
        <color indexed="8"/>
        <rFont val="Arial"/>
        <family val="2"/>
      </rPr>
      <t>K</t>
    </r>
    <r>
      <rPr>
        <vertAlign val="subscript"/>
        <sz val="12"/>
        <color indexed="8"/>
        <rFont val="Arial"/>
        <family val="2"/>
      </rPr>
      <t>LP,UPT</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sz val="12"/>
        <color indexed="10"/>
        <rFont val="Arial"/>
        <family val="2"/>
      </rPr>
      <t>[</t>
    </r>
    <r>
      <rPr>
        <i/>
        <sz val="12"/>
        <color indexed="10"/>
        <rFont val="Arial"/>
        <family val="2"/>
      </rPr>
      <t>P</t>
    </r>
    <r>
      <rPr>
        <vertAlign val="subscript"/>
        <sz val="12"/>
        <color indexed="10"/>
        <rFont val="Arial"/>
        <family val="2"/>
      </rPr>
      <t>PP,LO</t>
    </r>
    <r>
      <rPr>
        <sz val="12"/>
        <color indexed="10"/>
        <rFont val="Arial"/>
        <family val="2"/>
      </rPr>
      <t>/(</t>
    </r>
    <r>
      <rPr>
        <i/>
        <sz val="12"/>
        <color indexed="10"/>
        <rFont val="Arial"/>
        <family val="2"/>
      </rPr>
      <t>K</t>
    </r>
    <r>
      <rPr>
        <vertAlign val="subscript"/>
        <sz val="12"/>
        <color indexed="10"/>
        <rFont val="Arial"/>
        <family val="2"/>
      </rPr>
      <t>XP</t>
    </r>
    <r>
      <rPr>
        <sz val="12"/>
        <color indexed="10"/>
        <rFont val="Arial"/>
        <family val="2"/>
      </rPr>
      <t>+</t>
    </r>
    <r>
      <rPr>
        <i/>
        <sz val="12"/>
        <color indexed="10"/>
        <rFont val="Arial"/>
        <family val="2"/>
      </rPr>
      <t>P</t>
    </r>
    <r>
      <rPr>
        <vertAlign val="subscript"/>
        <sz val="12"/>
        <color indexed="10"/>
        <rFont val="Arial"/>
        <family val="2"/>
      </rPr>
      <t>PP,LO</t>
    </r>
    <r>
      <rPr>
        <sz val="12"/>
        <color indexed="10"/>
        <rFont val="Arial"/>
        <family val="2"/>
      </rPr>
      <t>)]</t>
    </r>
    <r>
      <rPr>
        <sz val="12"/>
        <color indexed="8"/>
        <rFont val="Arial"/>
        <family val="2"/>
      </rPr>
      <t>*</t>
    </r>
    <r>
      <rPr>
        <i/>
        <sz val="12"/>
        <color indexed="8"/>
        <rFont val="Arial"/>
        <family val="2"/>
      </rPr>
      <t>Z</t>
    </r>
    <r>
      <rPr>
        <vertAlign val="subscript"/>
        <sz val="12"/>
        <color indexed="8"/>
        <rFont val="Arial"/>
        <family val="2"/>
      </rPr>
      <t>P</t>
    </r>
  </si>
  <si>
    <r>
      <t>Yield for X</t>
    </r>
    <r>
      <rPr>
        <vertAlign val="subscript"/>
        <sz val="10"/>
        <rFont val="Arial"/>
        <family val="2"/>
      </rPr>
      <t>OHO</t>
    </r>
    <r>
      <rPr>
        <sz val="10"/>
        <rFont val="Arial"/>
        <family val="2"/>
      </rPr>
      <t xml:space="preserve"> growth (Aerobic)</t>
    </r>
  </si>
  <si>
    <r>
      <t>Anoxic growth of Z</t>
    </r>
    <r>
      <rPr>
        <b/>
        <vertAlign val="subscript"/>
        <sz val="10"/>
        <color indexed="8"/>
        <rFont val="Arial"/>
        <family val="2"/>
      </rPr>
      <t>P</t>
    </r>
    <r>
      <rPr>
        <b/>
        <sz val="10"/>
        <color indexed="8"/>
        <rFont val="Arial"/>
        <family val="2"/>
      </rPr>
      <t xml:space="preserve"> on S</t>
    </r>
    <r>
      <rPr>
        <b/>
        <vertAlign val="subscript"/>
        <sz val="10"/>
        <color indexed="8"/>
        <rFont val="Arial"/>
        <family val="2"/>
      </rPr>
      <t>PHB</t>
    </r>
    <r>
      <rPr>
        <b/>
        <sz val="10"/>
        <color indexed="8"/>
        <rFont val="Arial"/>
        <family val="2"/>
      </rPr>
      <t xml:space="preserve"> with N</t>
    </r>
    <r>
      <rPr>
        <b/>
        <vertAlign val="subscript"/>
        <sz val="10"/>
        <color indexed="8"/>
        <rFont val="Arial"/>
        <family val="2"/>
      </rPr>
      <t>H3</t>
    </r>
  </si>
  <si>
    <r>
      <t>f</t>
    </r>
    <r>
      <rPr>
        <vertAlign val="subscript"/>
        <sz val="12"/>
        <color indexed="8"/>
        <rFont val="Arial"/>
        <family val="2"/>
      </rPr>
      <t>PP</t>
    </r>
    <r>
      <rPr>
        <i/>
        <sz val="12"/>
        <color indexed="8"/>
        <rFont val="Arial"/>
        <family val="2"/>
      </rPr>
      <t>*f</t>
    </r>
    <r>
      <rPr>
        <vertAlign val="subscript"/>
        <sz val="12"/>
        <color indexed="8"/>
        <rFont val="Arial"/>
        <family val="2"/>
      </rPr>
      <t>P,UPT2</t>
    </r>
    <r>
      <rPr>
        <sz val="12"/>
        <color indexed="8"/>
        <rFont val="Arial"/>
        <family val="2"/>
      </rPr>
      <t>/</t>
    </r>
    <r>
      <rPr>
        <i/>
        <sz val="12"/>
        <color indexed="8"/>
        <rFont val="Arial"/>
        <family val="2"/>
      </rPr>
      <t>Y</t>
    </r>
    <r>
      <rPr>
        <vertAlign val="subscript"/>
        <sz val="12"/>
        <color indexed="8"/>
        <rFont val="Arial"/>
        <family val="2"/>
      </rPr>
      <t>P</t>
    </r>
  </si>
  <si>
    <r>
      <t>(1-</t>
    </r>
    <r>
      <rPr>
        <i/>
        <sz val="12"/>
        <color indexed="8"/>
        <rFont val="Arial"/>
        <family val="2"/>
      </rPr>
      <t>f</t>
    </r>
    <r>
      <rPr>
        <vertAlign val="subscript"/>
        <sz val="12"/>
        <color indexed="8"/>
        <rFont val="Arial"/>
        <family val="2"/>
      </rPr>
      <t>PP</t>
    </r>
    <r>
      <rPr>
        <sz val="12"/>
        <color indexed="8"/>
        <rFont val="Arial"/>
        <family val="2"/>
      </rPr>
      <t>)</t>
    </r>
    <r>
      <rPr>
        <i/>
        <sz val="12"/>
        <color indexed="8"/>
        <rFont val="Arial"/>
        <family val="2"/>
      </rPr>
      <t>*f</t>
    </r>
    <r>
      <rPr>
        <vertAlign val="subscript"/>
        <sz val="12"/>
        <color indexed="8"/>
        <rFont val="Arial"/>
        <family val="2"/>
      </rPr>
      <t>P,UPT2</t>
    </r>
    <r>
      <rPr>
        <sz val="12"/>
        <color indexed="8"/>
        <rFont val="Arial"/>
        <family val="2"/>
      </rPr>
      <t>/</t>
    </r>
    <r>
      <rPr>
        <i/>
        <sz val="12"/>
        <color indexed="8"/>
        <rFont val="Arial"/>
        <family val="2"/>
      </rPr>
      <t>Y</t>
    </r>
    <r>
      <rPr>
        <vertAlign val="subscript"/>
        <sz val="12"/>
        <color indexed="8"/>
        <rFont val="Arial"/>
        <family val="2"/>
      </rPr>
      <t>P</t>
    </r>
  </si>
  <si>
    <r>
      <t>-</t>
    </r>
    <r>
      <rPr>
        <i/>
        <sz val="12"/>
        <color indexed="8"/>
        <rFont val="Arial"/>
        <family val="2"/>
      </rPr>
      <t>f</t>
    </r>
    <r>
      <rPr>
        <vertAlign val="subscript"/>
        <sz val="12"/>
        <color indexed="8"/>
        <rFont val="Arial"/>
        <family val="2"/>
      </rPr>
      <t>P,UPT2</t>
    </r>
    <r>
      <rPr>
        <i/>
        <sz val="12"/>
        <color indexed="8"/>
        <rFont val="Arial"/>
        <family val="2"/>
      </rPr>
      <t>/Y</t>
    </r>
    <r>
      <rPr>
        <vertAlign val="subscript"/>
        <sz val="12"/>
        <color indexed="8"/>
        <rFont val="Arial"/>
        <family val="2"/>
      </rPr>
      <t>P</t>
    </r>
    <r>
      <rPr>
        <sz val="12"/>
        <color indexed="8"/>
        <rFont val="Arial"/>
        <family val="2"/>
      </rPr>
      <t>-</t>
    </r>
    <r>
      <rPr>
        <i/>
        <sz val="12"/>
        <color indexed="8"/>
        <rFont val="Arial"/>
        <family val="2"/>
      </rPr>
      <t>f</t>
    </r>
    <r>
      <rPr>
        <vertAlign val="subscript"/>
        <sz val="12"/>
        <color indexed="8"/>
        <rFont val="Arial"/>
        <family val="2"/>
      </rPr>
      <t>P,ZP</t>
    </r>
  </si>
  <si>
    <r>
      <t>-(1-</t>
    </r>
    <r>
      <rPr>
        <i/>
        <sz val="12"/>
        <color indexed="8"/>
        <rFont val="Arial"/>
        <family val="2"/>
      </rPr>
      <t>Y</t>
    </r>
    <r>
      <rPr>
        <vertAlign val="subscript"/>
        <sz val="12"/>
        <color indexed="8"/>
        <rFont val="Arial"/>
        <family val="2"/>
      </rPr>
      <t>P</t>
    </r>
    <r>
      <rPr>
        <sz val="12"/>
        <color indexed="8"/>
        <rFont val="Arial"/>
        <family val="2"/>
      </rPr>
      <t>)/(</t>
    </r>
    <r>
      <rPr>
        <i/>
        <sz val="12"/>
        <color indexed="8"/>
        <rFont val="Arial"/>
        <family val="2"/>
      </rPr>
      <t>i</t>
    </r>
    <r>
      <rPr>
        <vertAlign val="subscript"/>
        <sz val="12"/>
        <color indexed="8"/>
        <rFont val="Arial"/>
        <family val="2"/>
      </rPr>
      <t>NOx,N2</t>
    </r>
    <r>
      <rPr>
        <sz val="12"/>
        <color indexed="8"/>
        <rFont val="Arial"/>
        <family val="2"/>
      </rPr>
      <t>*</t>
    </r>
    <r>
      <rPr>
        <i/>
        <sz val="12"/>
        <color indexed="8"/>
        <rFont val="Arial"/>
        <family val="2"/>
      </rPr>
      <t>Y</t>
    </r>
    <r>
      <rPr>
        <vertAlign val="subscript"/>
        <sz val="12"/>
        <color indexed="8"/>
        <rFont val="Arial"/>
        <family val="2"/>
      </rPr>
      <t>P</t>
    </r>
    <r>
      <rPr>
        <sz val="12"/>
        <color indexed="8"/>
        <rFont val="Arial"/>
        <family val="2"/>
      </rPr>
      <t>)</t>
    </r>
  </si>
  <si>
    <r>
      <t>(1-</t>
    </r>
    <r>
      <rPr>
        <i/>
        <sz val="12"/>
        <color indexed="10"/>
        <rFont val="Arial"/>
        <family val="2"/>
      </rPr>
      <t>Y</t>
    </r>
    <r>
      <rPr>
        <vertAlign val="subscript"/>
        <sz val="12"/>
        <color indexed="10"/>
        <rFont val="Arial"/>
        <family val="2"/>
      </rPr>
      <t>P</t>
    </r>
    <r>
      <rPr>
        <sz val="12"/>
        <color indexed="10"/>
        <rFont val="Arial"/>
        <family val="2"/>
      </rPr>
      <t>)/(</t>
    </r>
    <r>
      <rPr>
        <i/>
        <sz val="12"/>
        <color indexed="10"/>
        <rFont val="Arial"/>
        <family val="2"/>
      </rPr>
      <t>i</t>
    </r>
    <r>
      <rPr>
        <vertAlign val="subscript"/>
        <sz val="12"/>
        <color indexed="10"/>
        <rFont val="Arial"/>
        <family val="2"/>
      </rPr>
      <t>NOx,N2</t>
    </r>
    <r>
      <rPr>
        <sz val="12"/>
        <color indexed="10"/>
        <rFont val="Arial"/>
        <family val="2"/>
      </rPr>
      <t>*</t>
    </r>
    <r>
      <rPr>
        <i/>
        <sz val="12"/>
        <color indexed="10"/>
        <rFont val="Arial"/>
        <family val="2"/>
      </rPr>
      <t>Y</t>
    </r>
    <r>
      <rPr>
        <vertAlign val="subscript"/>
        <sz val="12"/>
        <color indexed="10"/>
        <rFont val="Arial"/>
        <family val="2"/>
      </rPr>
      <t>P</t>
    </r>
    <r>
      <rPr>
        <sz val="12"/>
        <color indexed="10"/>
        <rFont val="Arial"/>
        <family val="2"/>
      </rPr>
      <t>)</t>
    </r>
  </si>
  <si>
    <r>
      <t>μ</t>
    </r>
    <r>
      <rPr>
        <vertAlign val="subscript"/>
        <sz val="12"/>
        <color indexed="8"/>
        <rFont val="Arial"/>
        <family val="2"/>
      </rPr>
      <t>P1</t>
    </r>
    <r>
      <rPr>
        <sz val="12"/>
        <color indexed="8"/>
        <rFont val="Arial"/>
        <family val="2"/>
      </rPr>
      <t>*</t>
    </r>
    <r>
      <rPr>
        <i/>
        <sz val="12"/>
        <color indexed="8"/>
        <rFont val="Arial"/>
        <family val="2"/>
      </rPr>
      <t>η</t>
    </r>
    <r>
      <rPr>
        <vertAlign val="subscript"/>
        <sz val="12"/>
        <color indexed="8"/>
        <rFont val="Arial"/>
        <family val="2"/>
      </rPr>
      <t>P</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PHB</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r>
      <rPr>
        <i/>
        <sz val="12"/>
        <color indexed="8"/>
        <rFont val="Arial"/>
        <family val="2"/>
      </rPr>
      <t>K</t>
    </r>
    <r>
      <rPr>
        <vertAlign val="subscript"/>
        <sz val="12"/>
        <color indexed="8"/>
        <rFont val="Arial"/>
        <family val="2"/>
      </rPr>
      <t>S,P1</t>
    </r>
    <r>
      <rPr>
        <sz val="12"/>
        <color indexed="8"/>
        <rFont val="Arial"/>
        <family val="2"/>
      </rPr>
      <t>+(</t>
    </r>
    <r>
      <rPr>
        <i/>
        <sz val="12"/>
        <color indexed="8"/>
        <rFont val="Arial"/>
        <family val="2"/>
      </rPr>
      <t>S</t>
    </r>
    <r>
      <rPr>
        <vertAlign val="subscript"/>
        <sz val="12"/>
        <color indexed="8"/>
        <rFont val="Arial"/>
        <family val="2"/>
      </rPr>
      <t>PHB</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K</t>
    </r>
    <r>
      <rPr>
        <vertAlign val="subscript"/>
        <sz val="12"/>
        <color indexed="8"/>
        <rFont val="Arial"/>
        <family val="2"/>
      </rPr>
      <t>NA</t>
    </r>
    <r>
      <rPr>
        <sz val="12"/>
        <color indexed="8"/>
        <rFont val="Arial"/>
        <family val="2"/>
      </rPr>
      <t>+</t>
    </r>
    <r>
      <rPr>
        <i/>
        <sz val="12"/>
        <color indexed="8"/>
        <rFont val="Arial"/>
        <family val="2"/>
      </rPr>
      <t>N</t>
    </r>
    <r>
      <rPr>
        <vertAlign val="subscript"/>
        <sz val="12"/>
        <color indexed="8"/>
        <rFont val="Arial"/>
        <family val="2"/>
      </rPr>
      <t>H3</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K</t>
    </r>
    <r>
      <rPr>
        <vertAlign val="subscript"/>
        <sz val="12"/>
        <color indexed="8"/>
        <rFont val="Arial"/>
        <family val="2"/>
      </rPr>
      <t>LP,UPT</t>
    </r>
    <r>
      <rPr>
        <sz val="12"/>
        <color indexed="8"/>
        <rFont val="Arial"/>
        <family val="2"/>
      </rPr>
      <t>+</t>
    </r>
    <r>
      <rPr>
        <i/>
        <sz val="12"/>
        <color indexed="8"/>
        <rFont val="Arial"/>
        <family val="2"/>
      </rPr>
      <t>P</t>
    </r>
    <r>
      <rPr>
        <vertAlign val="subscript"/>
        <sz val="12"/>
        <color indexed="8"/>
        <rFont val="Arial"/>
        <family val="2"/>
      </rPr>
      <t>O4</t>
    </r>
    <r>
      <rPr>
        <sz val="12"/>
        <color indexed="8"/>
        <rFont val="Arial"/>
        <family val="2"/>
      </rPr>
      <t>)]*</t>
    </r>
    <r>
      <rPr>
        <i/>
        <sz val="12"/>
        <color indexed="8"/>
        <rFont val="Arial"/>
        <family val="2"/>
      </rPr>
      <t>Z</t>
    </r>
    <r>
      <rPr>
        <vertAlign val="subscript"/>
        <sz val="12"/>
        <color indexed="8"/>
        <rFont val="Arial"/>
        <family val="2"/>
      </rPr>
      <t>P</t>
    </r>
  </si>
  <si>
    <r>
      <t>Yield for X</t>
    </r>
    <r>
      <rPr>
        <vertAlign val="subscript"/>
        <sz val="10"/>
        <rFont val="Arial"/>
        <family val="2"/>
      </rPr>
      <t>OHO</t>
    </r>
    <r>
      <rPr>
        <sz val="10"/>
        <rFont val="Arial"/>
        <family val="2"/>
      </rPr>
      <t xml:space="preserve"> growth (Anoxic)</t>
    </r>
  </si>
  <si>
    <r>
      <t>Aerobic decay of Z</t>
    </r>
    <r>
      <rPr>
        <b/>
        <vertAlign val="subscript"/>
        <sz val="10"/>
        <color indexed="8"/>
        <rFont val="Arial"/>
        <family val="2"/>
      </rPr>
      <t>P</t>
    </r>
  </si>
  <si>
    <r>
      <t>f</t>
    </r>
    <r>
      <rPr>
        <vertAlign val="subscript"/>
        <sz val="12"/>
        <color indexed="8"/>
        <rFont val="Arial"/>
        <family val="2"/>
      </rPr>
      <t>P,ZP</t>
    </r>
    <r>
      <rPr>
        <i/>
        <sz val="12"/>
        <color indexed="8"/>
        <rFont val="Arial"/>
        <family val="2"/>
      </rPr>
      <t>-f</t>
    </r>
    <r>
      <rPr>
        <vertAlign val="subscript"/>
        <sz val="12"/>
        <color indexed="8"/>
        <rFont val="Arial"/>
        <family val="2"/>
      </rPr>
      <t>EP,P</t>
    </r>
    <r>
      <rPr>
        <sz val="12"/>
        <color indexed="8"/>
        <rFont val="Arial"/>
        <family val="2"/>
      </rPr>
      <t>*</t>
    </r>
    <r>
      <rPr>
        <i/>
        <sz val="12"/>
        <color indexed="8"/>
        <rFont val="Arial"/>
        <family val="2"/>
      </rPr>
      <t>f</t>
    </r>
    <r>
      <rPr>
        <vertAlign val="subscript"/>
        <sz val="12"/>
        <color indexed="8"/>
        <rFont val="Arial"/>
        <family val="2"/>
      </rPr>
      <t>P,ZEP</t>
    </r>
  </si>
  <si>
    <r>
      <t>f</t>
    </r>
    <r>
      <rPr>
        <vertAlign val="subscript"/>
        <sz val="12"/>
        <color indexed="8"/>
        <rFont val="Arial"/>
        <family val="2"/>
      </rPr>
      <t>ES,P</t>
    </r>
    <r>
      <rPr>
        <i/>
        <sz val="12"/>
        <color indexed="8"/>
        <rFont val="Arial"/>
        <family val="2"/>
      </rPr>
      <t>*f</t>
    </r>
    <r>
      <rPr>
        <vertAlign val="subscript"/>
        <sz val="12"/>
        <color indexed="8"/>
        <rFont val="Arial"/>
        <family val="2"/>
      </rPr>
      <t>N,SEP</t>
    </r>
  </si>
  <si>
    <r>
      <t>f</t>
    </r>
    <r>
      <rPr>
        <vertAlign val="subscript"/>
        <sz val="12"/>
        <color indexed="8"/>
        <rFont val="Arial"/>
        <family val="2"/>
      </rPr>
      <t>N,ZP</t>
    </r>
    <r>
      <rPr>
        <i/>
        <sz val="12"/>
        <color indexed="8"/>
        <rFont val="Arial"/>
        <family val="2"/>
      </rPr>
      <t>-f</t>
    </r>
    <r>
      <rPr>
        <vertAlign val="subscript"/>
        <sz val="12"/>
        <color indexed="8"/>
        <rFont val="Arial"/>
        <family val="2"/>
      </rPr>
      <t>EP,P</t>
    </r>
    <r>
      <rPr>
        <sz val="12"/>
        <color indexed="8"/>
        <rFont val="Arial"/>
        <family val="2"/>
      </rPr>
      <t>*</t>
    </r>
    <r>
      <rPr>
        <i/>
        <sz val="12"/>
        <color indexed="8"/>
        <rFont val="Arial"/>
        <family val="2"/>
      </rPr>
      <t>f</t>
    </r>
    <r>
      <rPr>
        <vertAlign val="subscript"/>
        <sz val="12"/>
        <color indexed="8"/>
        <rFont val="Arial"/>
        <family val="2"/>
      </rPr>
      <t>N,ZEP</t>
    </r>
    <r>
      <rPr>
        <sz val="12"/>
        <color indexed="8"/>
        <rFont val="Arial"/>
        <family val="2"/>
      </rPr>
      <t>-</t>
    </r>
    <r>
      <rPr>
        <i/>
        <sz val="12"/>
        <color indexed="8"/>
        <rFont val="Arial"/>
        <family val="2"/>
      </rPr>
      <t>f</t>
    </r>
    <r>
      <rPr>
        <vertAlign val="subscript"/>
        <sz val="12"/>
        <color indexed="8"/>
        <rFont val="Arial"/>
        <family val="2"/>
      </rPr>
      <t>ES,P</t>
    </r>
    <r>
      <rPr>
        <sz val="12"/>
        <color indexed="8"/>
        <rFont val="Arial"/>
        <family val="2"/>
      </rPr>
      <t>*</t>
    </r>
    <r>
      <rPr>
        <i/>
        <sz val="12"/>
        <color indexed="8"/>
        <rFont val="Arial"/>
        <family val="2"/>
      </rPr>
      <t>f</t>
    </r>
    <r>
      <rPr>
        <vertAlign val="subscript"/>
        <sz val="12"/>
        <color indexed="8"/>
        <rFont val="Arial"/>
        <family val="2"/>
      </rPr>
      <t>N,SEP</t>
    </r>
  </si>
  <si>
    <r>
      <t>-(1-</t>
    </r>
    <r>
      <rPr>
        <i/>
        <sz val="12"/>
        <color indexed="8"/>
        <rFont val="Arial"/>
        <family val="2"/>
      </rPr>
      <t>f</t>
    </r>
    <r>
      <rPr>
        <vertAlign val="subscript"/>
        <sz val="12"/>
        <color indexed="8"/>
        <rFont val="Arial"/>
        <family val="2"/>
      </rPr>
      <t>EP,P</t>
    </r>
    <r>
      <rPr>
        <i/>
        <sz val="12"/>
        <color indexed="8"/>
        <rFont val="Arial"/>
        <family val="2"/>
      </rPr>
      <t>-f</t>
    </r>
    <r>
      <rPr>
        <vertAlign val="subscript"/>
        <sz val="12"/>
        <color indexed="8"/>
        <rFont val="Arial"/>
        <family val="2"/>
      </rPr>
      <t>ES,P</t>
    </r>
    <r>
      <rPr>
        <sz val="12"/>
        <color indexed="8"/>
        <rFont val="Arial"/>
        <family val="2"/>
      </rPr>
      <t>)</t>
    </r>
  </si>
  <si>
    <r>
      <t>b</t>
    </r>
    <r>
      <rPr>
        <vertAlign val="subscript"/>
        <sz val="12"/>
        <color indexed="8"/>
        <rFont val="Arial"/>
        <family val="2"/>
      </rPr>
      <t>P</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Z</t>
    </r>
    <r>
      <rPr>
        <vertAlign val="subscript"/>
        <sz val="12"/>
        <color indexed="8"/>
        <rFont val="Arial"/>
        <family val="2"/>
      </rPr>
      <t>P</t>
    </r>
  </si>
  <si>
    <r>
      <t>Yield for X</t>
    </r>
    <r>
      <rPr>
        <vertAlign val="subscript"/>
        <sz val="10"/>
        <rFont val="Arial"/>
        <family val="2"/>
      </rPr>
      <t>OHO</t>
    </r>
    <r>
      <rPr>
        <sz val="10"/>
        <rFont val="Arial"/>
        <family val="2"/>
      </rPr>
      <t xml:space="preserve"> growth (Anaerobic)</t>
    </r>
  </si>
  <si>
    <r>
      <t>P</t>
    </r>
    <r>
      <rPr>
        <b/>
        <vertAlign val="subscript"/>
        <sz val="10"/>
        <color indexed="8"/>
        <rFont val="Arial"/>
        <family val="2"/>
      </rPr>
      <t xml:space="preserve">PP-LO </t>
    </r>
    <r>
      <rPr>
        <b/>
        <sz val="10"/>
        <color indexed="8"/>
        <rFont val="Arial"/>
        <family val="2"/>
      </rPr>
      <t>lysis on aerobic decay</t>
    </r>
  </si>
  <si>
    <r>
      <t>b</t>
    </r>
    <r>
      <rPr>
        <vertAlign val="subscript"/>
        <sz val="12"/>
        <color indexed="8"/>
        <rFont val="Arial"/>
        <family val="2"/>
      </rPr>
      <t>P</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P</t>
    </r>
    <r>
      <rPr>
        <vertAlign val="subscript"/>
        <sz val="12"/>
        <color indexed="8"/>
        <rFont val="Arial"/>
        <family val="2"/>
      </rPr>
      <t>PP,LO</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r>
      <rPr>
        <i/>
        <sz val="12"/>
        <color indexed="8"/>
        <rFont val="Arial"/>
        <family val="2"/>
      </rPr>
      <t>Z</t>
    </r>
    <r>
      <rPr>
        <vertAlign val="subscript"/>
        <sz val="12"/>
        <color indexed="8"/>
        <rFont val="Arial"/>
        <family val="2"/>
      </rPr>
      <t>P</t>
    </r>
  </si>
  <si>
    <r>
      <t>P</t>
    </r>
    <r>
      <rPr>
        <b/>
        <vertAlign val="subscript"/>
        <sz val="10"/>
        <color indexed="8"/>
        <rFont val="Arial"/>
        <family val="2"/>
      </rPr>
      <t xml:space="preserve">PP-HI </t>
    </r>
    <r>
      <rPr>
        <b/>
        <sz val="10"/>
        <color indexed="8"/>
        <rFont val="Arial"/>
        <family val="2"/>
      </rPr>
      <t>lysis on aerobic decay</t>
    </r>
  </si>
  <si>
    <r>
      <t>b</t>
    </r>
    <r>
      <rPr>
        <vertAlign val="subscript"/>
        <sz val="12"/>
        <color indexed="8"/>
        <rFont val="Arial"/>
        <family val="2"/>
      </rPr>
      <t>P</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P</t>
    </r>
    <r>
      <rPr>
        <vertAlign val="subscript"/>
        <sz val="12"/>
        <color indexed="8"/>
        <rFont val="Arial"/>
        <family val="2"/>
      </rPr>
      <t>PP,HI</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r>
      <rPr>
        <i/>
        <sz val="12"/>
        <color indexed="8"/>
        <rFont val="Arial"/>
        <family val="2"/>
      </rPr>
      <t>Z</t>
    </r>
    <r>
      <rPr>
        <vertAlign val="subscript"/>
        <sz val="12"/>
        <color indexed="8"/>
        <rFont val="Arial"/>
        <family val="2"/>
      </rPr>
      <t>P</t>
    </r>
  </si>
  <si>
    <r>
      <t>g S</t>
    </r>
    <r>
      <rPr>
        <vertAlign val="subscript"/>
        <sz val="8"/>
        <rFont val="Arial"/>
        <family val="2"/>
      </rPr>
      <t>Ac</t>
    </r>
    <r>
      <rPr>
        <sz val="8"/>
        <rFont val="Arial"/>
        <family val="2"/>
      </rPr>
      <t>.g S</t>
    </r>
    <r>
      <rPr>
        <vertAlign val="subscript"/>
        <sz val="8"/>
        <rFont val="Arial"/>
        <family val="2"/>
      </rPr>
      <t>B</t>
    </r>
    <r>
      <rPr>
        <vertAlign val="superscript"/>
        <sz val="10"/>
        <rFont val="Arial"/>
        <family val="2"/>
      </rPr>
      <t>-1</t>
    </r>
  </si>
  <si>
    <r>
      <t>S</t>
    </r>
    <r>
      <rPr>
        <b/>
        <vertAlign val="subscript"/>
        <sz val="10"/>
        <color indexed="8"/>
        <rFont val="Arial"/>
        <family val="2"/>
      </rPr>
      <t xml:space="preserve">PHB </t>
    </r>
    <r>
      <rPr>
        <b/>
        <sz val="10"/>
        <color indexed="8"/>
        <rFont val="Arial"/>
        <family val="2"/>
      </rPr>
      <t>lysis on aerobic decay</t>
    </r>
  </si>
  <si>
    <r>
      <t>b</t>
    </r>
    <r>
      <rPr>
        <vertAlign val="subscript"/>
        <sz val="12"/>
        <color indexed="8"/>
        <rFont val="Arial"/>
        <family val="2"/>
      </rPr>
      <t>P</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PHB</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r>
      <rPr>
        <i/>
        <sz val="12"/>
        <color indexed="8"/>
        <rFont val="Arial"/>
        <family val="2"/>
      </rPr>
      <t>Z</t>
    </r>
    <r>
      <rPr>
        <vertAlign val="subscript"/>
        <sz val="12"/>
        <color indexed="8"/>
        <rFont val="Arial"/>
        <family val="2"/>
      </rPr>
      <t>P</t>
    </r>
  </si>
  <si>
    <r>
      <t>Anoxic decay of Z</t>
    </r>
    <r>
      <rPr>
        <b/>
        <vertAlign val="subscript"/>
        <sz val="10"/>
        <color indexed="8"/>
        <rFont val="Arial"/>
        <family val="2"/>
      </rPr>
      <t>P</t>
    </r>
  </si>
  <si>
    <r>
      <t>-(1-</t>
    </r>
    <r>
      <rPr>
        <i/>
        <sz val="12"/>
        <color indexed="8"/>
        <rFont val="Arial"/>
        <family val="2"/>
      </rPr>
      <t>f</t>
    </r>
    <r>
      <rPr>
        <vertAlign val="subscript"/>
        <sz val="12"/>
        <color indexed="8"/>
        <rFont val="Arial"/>
        <family val="2"/>
      </rPr>
      <t>EP,P</t>
    </r>
    <r>
      <rPr>
        <sz val="12"/>
        <color indexed="8"/>
        <rFont val="Arial"/>
        <family val="2"/>
      </rPr>
      <t>-</t>
    </r>
    <r>
      <rPr>
        <i/>
        <sz val="12"/>
        <color indexed="8"/>
        <rFont val="Arial"/>
        <family val="2"/>
      </rPr>
      <t>f</t>
    </r>
    <r>
      <rPr>
        <vertAlign val="subscript"/>
        <sz val="12"/>
        <color indexed="8"/>
        <rFont val="Arial"/>
        <family val="2"/>
      </rPr>
      <t>ES,P</t>
    </r>
    <r>
      <rPr>
        <sz val="12"/>
        <color indexed="8"/>
        <rFont val="Arial"/>
        <family val="2"/>
      </rPr>
      <t>)/</t>
    </r>
    <r>
      <rPr>
        <i/>
        <sz val="12"/>
        <color indexed="8"/>
        <rFont val="Arial"/>
        <family val="2"/>
      </rPr>
      <t>i</t>
    </r>
    <r>
      <rPr>
        <vertAlign val="subscript"/>
        <sz val="12"/>
        <color indexed="8"/>
        <rFont val="Arial"/>
        <family val="2"/>
      </rPr>
      <t>NOx,N2</t>
    </r>
  </si>
  <si>
    <r>
      <t>(1-</t>
    </r>
    <r>
      <rPr>
        <i/>
        <sz val="12"/>
        <color indexed="10"/>
        <rFont val="Arial"/>
        <family val="2"/>
      </rPr>
      <t>f</t>
    </r>
    <r>
      <rPr>
        <vertAlign val="subscript"/>
        <sz val="12"/>
        <color indexed="10"/>
        <rFont val="Arial"/>
        <family val="2"/>
      </rPr>
      <t>EP,P</t>
    </r>
    <r>
      <rPr>
        <sz val="12"/>
        <color indexed="10"/>
        <rFont val="Arial"/>
        <family val="2"/>
      </rPr>
      <t>-</t>
    </r>
    <r>
      <rPr>
        <i/>
        <sz val="12"/>
        <color indexed="10"/>
        <rFont val="Arial"/>
        <family val="2"/>
      </rPr>
      <t>f</t>
    </r>
    <r>
      <rPr>
        <vertAlign val="subscript"/>
        <sz val="12"/>
        <color indexed="10"/>
        <rFont val="Arial"/>
        <family val="2"/>
      </rPr>
      <t>ES,P</t>
    </r>
    <r>
      <rPr>
        <sz val="12"/>
        <color indexed="10"/>
        <rFont val="Arial"/>
        <family val="2"/>
      </rPr>
      <t>)/</t>
    </r>
    <r>
      <rPr>
        <i/>
        <sz val="12"/>
        <color indexed="10"/>
        <rFont val="Arial"/>
        <family val="2"/>
      </rPr>
      <t>i</t>
    </r>
    <r>
      <rPr>
        <vertAlign val="subscript"/>
        <sz val="12"/>
        <color indexed="10"/>
        <rFont val="Arial"/>
        <family val="2"/>
      </rPr>
      <t>NOx,N2</t>
    </r>
  </si>
  <si>
    <r>
      <t>b</t>
    </r>
    <r>
      <rPr>
        <vertAlign val="subscript"/>
        <sz val="12"/>
        <color indexed="8"/>
        <rFont val="Arial"/>
        <family val="2"/>
      </rPr>
      <t>P</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Z</t>
    </r>
    <r>
      <rPr>
        <vertAlign val="subscript"/>
        <sz val="12"/>
        <color indexed="8"/>
        <rFont val="Arial"/>
        <family val="2"/>
      </rPr>
      <t>P</t>
    </r>
  </si>
  <si>
    <r>
      <t>Yield for X</t>
    </r>
    <r>
      <rPr>
        <vertAlign val="subscript"/>
        <sz val="10"/>
        <rFont val="Arial"/>
        <family val="2"/>
      </rPr>
      <t>PAO,PP</t>
    </r>
    <r>
      <rPr>
        <sz val="10"/>
        <rFont val="Arial"/>
        <family val="2"/>
      </rPr>
      <t xml:space="preserve"> storage (S</t>
    </r>
    <r>
      <rPr>
        <vertAlign val="subscript"/>
        <sz val="10"/>
        <rFont val="Arial"/>
        <family val="2"/>
      </rPr>
      <t>PO4</t>
    </r>
    <r>
      <rPr>
        <sz val="10"/>
        <rFont val="Arial"/>
        <family val="2"/>
      </rPr>
      <t xml:space="preserve"> uptake) per X</t>
    </r>
    <r>
      <rPr>
        <vertAlign val="subscript"/>
        <sz val="10"/>
        <rFont val="Arial"/>
        <family val="2"/>
      </rPr>
      <t>PAO,PHA</t>
    </r>
    <r>
      <rPr>
        <sz val="10"/>
        <rFont val="Arial"/>
        <family val="2"/>
      </rPr>
      <t xml:space="preserve"> utilized (Aerobic)</t>
    </r>
  </si>
  <si>
    <r>
      <t>P</t>
    </r>
    <r>
      <rPr>
        <b/>
        <vertAlign val="subscript"/>
        <sz val="10"/>
        <color indexed="8"/>
        <rFont val="Arial"/>
        <family val="2"/>
      </rPr>
      <t xml:space="preserve">PP-LO </t>
    </r>
    <r>
      <rPr>
        <b/>
        <sz val="10"/>
        <color indexed="8"/>
        <rFont val="Arial"/>
        <family val="2"/>
      </rPr>
      <t>lysis on anoxic decay</t>
    </r>
  </si>
  <si>
    <r>
      <t>b</t>
    </r>
    <r>
      <rPr>
        <vertAlign val="subscript"/>
        <sz val="12"/>
        <color indexed="8"/>
        <rFont val="Arial"/>
        <family val="2"/>
      </rPr>
      <t>P</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P</t>
    </r>
    <r>
      <rPr>
        <vertAlign val="subscript"/>
        <sz val="12"/>
        <color indexed="8"/>
        <rFont val="Arial"/>
        <family val="2"/>
      </rPr>
      <t>PP,LO</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r>
      <rPr>
        <i/>
        <sz val="12"/>
        <color indexed="8"/>
        <rFont val="Arial"/>
        <family val="2"/>
      </rPr>
      <t>Z</t>
    </r>
    <r>
      <rPr>
        <vertAlign val="subscript"/>
        <sz val="12"/>
        <color indexed="8"/>
        <rFont val="Arial"/>
        <family val="2"/>
      </rPr>
      <t>P</t>
    </r>
  </si>
  <si>
    <r>
      <t>Yield for X</t>
    </r>
    <r>
      <rPr>
        <vertAlign val="subscript"/>
        <sz val="10"/>
        <rFont val="Arial"/>
        <family val="2"/>
      </rPr>
      <t>PAO,PP</t>
    </r>
    <r>
      <rPr>
        <sz val="10"/>
        <rFont val="Arial"/>
        <family val="2"/>
      </rPr>
      <t xml:space="preserve"> storage (S</t>
    </r>
    <r>
      <rPr>
        <vertAlign val="subscript"/>
        <sz val="10"/>
        <rFont val="Arial"/>
        <family val="2"/>
      </rPr>
      <t>PO4</t>
    </r>
    <r>
      <rPr>
        <sz val="10"/>
        <rFont val="Arial"/>
        <family val="2"/>
      </rPr>
      <t xml:space="preserve"> uptake) per X</t>
    </r>
    <r>
      <rPr>
        <vertAlign val="subscript"/>
        <sz val="10"/>
        <rFont val="Arial"/>
        <family val="2"/>
      </rPr>
      <t>PAO,PHA</t>
    </r>
    <r>
      <rPr>
        <sz val="10"/>
        <rFont val="Arial"/>
        <family val="2"/>
      </rPr>
      <t xml:space="preserve"> utilized (Anoxic)</t>
    </r>
  </si>
  <si>
    <r>
      <t>P</t>
    </r>
    <r>
      <rPr>
        <b/>
        <vertAlign val="subscript"/>
        <sz val="10"/>
        <color indexed="8"/>
        <rFont val="Arial"/>
        <family val="2"/>
      </rPr>
      <t xml:space="preserve">PP-HI </t>
    </r>
    <r>
      <rPr>
        <b/>
        <sz val="10"/>
        <color indexed="8"/>
        <rFont val="Arial"/>
        <family val="2"/>
      </rPr>
      <t>lysis on anoxic decay</t>
    </r>
  </si>
  <si>
    <r>
      <t>b</t>
    </r>
    <r>
      <rPr>
        <vertAlign val="subscript"/>
        <sz val="12"/>
        <color indexed="8"/>
        <rFont val="Arial"/>
        <family val="2"/>
      </rPr>
      <t>P</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P</t>
    </r>
    <r>
      <rPr>
        <vertAlign val="subscript"/>
        <sz val="12"/>
        <color indexed="8"/>
        <rFont val="Arial"/>
        <family val="2"/>
      </rPr>
      <t>PP,HI</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r>
      <rPr>
        <i/>
        <sz val="12"/>
        <color indexed="8"/>
        <rFont val="Arial"/>
        <family val="2"/>
      </rPr>
      <t>Z</t>
    </r>
    <r>
      <rPr>
        <vertAlign val="subscript"/>
        <sz val="12"/>
        <color indexed="8"/>
        <rFont val="Arial"/>
        <family val="2"/>
      </rPr>
      <t>P</t>
    </r>
  </si>
  <si>
    <r>
      <t>Yield for X</t>
    </r>
    <r>
      <rPr>
        <vertAlign val="subscript"/>
        <sz val="10"/>
        <rFont val="Arial"/>
        <family val="2"/>
      </rPr>
      <t>PAO,PHA</t>
    </r>
    <r>
      <rPr>
        <sz val="10"/>
        <rFont val="Arial"/>
        <family val="2"/>
      </rPr>
      <t xml:space="preserve"> storage per S</t>
    </r>
    <r>
      <rPr>
        <vertAlign val="subscript"/>
        <sz val="10"/>
        <rFont val="Arial"/>
        <family val="2"/>
      </rPr>
      <t>Ac</t>
    </r>
  </si>
  <si>
    <r>
      <t>S</t>
    </r>
    <r>
      <rPr>
        <b/>
        <vertAlign val="subscript"/>
        <sz val="10"/>
        <color indexed="8"/>
        <rFont val="Arial"/>
        <family val="2"/>
      </rPr>
      <t xml:space="preserve">PHB </t>
    </r>
    <r>
      <rPr>
        <b/>
        <sz val="10"/>
        <color indexed="8"/>
        <rFont val="Arial"/>
        <family val="2"/>
      </rPr>
      <t>lysis on anoxic decay</t>
    </r>
  </si>
  <si>
    <r>
      <t>b</t>
    </r>
    <r>
      <rPr>
        <vertAlign val="subscript"/>
        <sz val="12"/>
        <color indexed="8"/>
        <rFont val="Arial"/>
        <family val="2"/>
      </rPr>
      <t>P</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S</t>
    </r>
    <r>
      <rPr>
        <vertAlign val="subscript"/>
        <sz val="12"/>
        <color indexed="8"/>
        <rFont val="Arial"/>
        <family val="2"/>
      </rPr>
      <t>PHB</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r>
      <rPr>
        <i/>
        <sz val="12"/>
        <color indexed="8"/>
        <rFont val="Arial"/>
        <family val="2"/>
      </rPr>
      <t>Z</t>
    </r>
    <r>
      <rPr>
        <vertAlign val="subscript"/>
        <sz val="12"/>
        <color indexed="8"/>
        <rFont val="Arial"/>
        <family val="2"/>
      </rPr>
      <t>P</t>
    </r>
  </si>
  <si>
    <r>
      <t>Anaerobic decay of Z</t>
    </r>
    <r>
      <rPr>
        <b/>
        <vertAlign val="subscript"/>
        <sz val="10"/>
        <color indexed="8"/>
        <rFont val="Arial"/>
        <family val="2"/>
      </rPr>
      <t>P</t>
    </r>
  </si>
  <si>
    <r>
      <t>1-</t>
    </r>
    <r>
      <rPr>
        <i/>
        <sz val="12"/>
        <color indexed="8"/>
        <rFont val="Arial"/>
        <family val="2"/>
      </rPr>
      <t>f</t>
    </r>
    <r>
      <rPr>
        <vertAlign val="subscript"/>
        <sz val="12"/>
        <color indexed="8"/>
        <rFont val="Arial"/>
        <family val="2"/>
      </rPr>
      <t>EP,P</t>
    </r>
  </si>
  <si>
    <r>
      <t>b</t>
    </r>
    <r>
      <rPr>
        <vertAlign val="subscript"/>
        <sz val="12"/>
        <color indexed="8"/>
        <rFont val="Arial"/>
        <family val="2"/>
      </rPr>
      <t>P</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Z</t>
    </r>
    <r>
      <rPr>
        <vertAlign val="subscript"/>
        <sz val="12"/>
        <color indexed="8"/>
        <rFont val="Arial"/>
        <family val="2"/>
      </rPr>
      <t>P</t>
    </r>
  </si>
  <si>
    <r>
      <t>Fraction of X</t>
    </r>
    <r>
      <rPr>
        <vertAlign val="subscript"/>
        <sz val="10"/>
        <rFont val="Arial"/>
        <family val="2"/>
      </rPr>
      <t>PAO,PP</t>
    </r>
    <r>
      <rPr>
        <sz val="10"/>
        <rFont val="Arial"/>
        <family val="2"/>
      </rPr>
      <t xml:space="preserve"> that can be released</t>
    </r>
  </si>
  <si>
    <r>
      <t>g X</t>
    </r>
    <r>
      <rPr>
        <vertAlign val="subscript"/>
        <sz val="8"/>
        <rFont val="Arial"/>
        <family val="2"/>
      </rPr>
      <t>PP,Lo</t>
    </r>
    <r>
      <rPr>
        <sz val="8"/>
        <rFont val="Arial"/>
        <family val="2"/>
      </rPr>
      <t>.g X</t>
    </r>
    <r>
      <rPr>
        <vertAlign val="subscript"/>
        <sz val="8"/>
        <rFont val="Arial"/>
        <family val="2"/>
      </rPr>
      <t>PP</t>
    </r>
    <r>
      <rPr>
        <vertAlign val="superscript"/>
        <sz val="10"/>
        <rFont val="Arial"/>
        <family val="2"/>
      </rPr>
      <t>-1</t>
    </r>
  </si>
  <si>
    <r>
      <t>P</t>
    </r>
    <r>
      <rPr>
        <b/>
        <vertAlign val="subscript"/>
        <sz val="10"/>
        <color indexed="8"/>
        <rFont val="Arial"/>
        <family val="2"/>
      </rPr>
      <t xml:space="preserve">PP-LO </t>
    </r>
    <r>
      <rPr>
        <b/>
        <sz val="10"/>
        <color indexed="8"/>
        <rFont val="Arial"/>
        <family val="2"/>
      </rPr>
      <t>lysis on anaerobic decay</t>
    </r>
  </si>
  <si>
    <r>
      <t>b</t>
    </r>
    <r>
      <rPr>
        <vertAlign val="subscript"/>
        <sz val="12"/>
        <color indexed="8"/>
        <rFont val="Arial"/>
        <family val="2"/>
      </rPr>
      <t>P</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P</t>
    </r>
    <r>
      <rPr>
        <vertAlign val="subscript"/>
        <sz val="12"/>
        <color indexed="8"/>
        <rFont val="Arial"/>
        <family val="2"/>
      </rPr>
      <t>PP,LO</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r>
      <rPr>
        <i/>
        <sz val="12"/>
        <color indexed="8"/>
        <rFont val="Arial"/>
        <family val="2"/>
      </rPr>
      <t>Z</t>
    </r>
    <r>
      <rPr>
        <vertAlign val="subscript"/>
        <sz val="12"/>
        <color indexed="8"/>
        <rFont val="Arial"/>
        <family val="2"/>
      </rPr>
      <t>P</t>
    </r>
  </si>
  <si>
    <r>
      <t>Fraction of X</t>
    </r>
    <r>
      <rPr>
        <vertAlign val="subscript"/>
        <sz val="10"/>
        <rFont val="Arial"/>
        <family val="2"/>
      </rPr>
      <t>U</t>
    </r>
    <r>
      <rPr>
        <sz val="10"/>
        <rFont val="Arial"/>
        <family val="2"/>
      </rPr>
      <t xml:space="preserve"> generated in X</t>
    </r>
    <r>
      <rPr>
        <vertAlign val="subscript"/>
        <sz val="10"/>
        <rFont val="Arial"/>
        <family val="2"/>
      </rPr>
      <t>PAO</t>
    </r>
    <r>
      <rPr>
        <sz val="10"/>
        <rFont val="Arial"/>
        <family val="2"/>
      </rPr>
      <t xml:space="preserve"> decay</t>
    </r>
  </si>
  <si>
    <r>
      <t>P</t>
    </r>
    <r>
      <rPr>
        <b/>
        <vertAlign val="subscript"/>
        <sz val="10"/>
        <color indexed="8"/>
        <rFont val="Arial"/>
        <family val="2"/>
      </rPr>
      <t xml:space="preserve">PP-HI </t>
    </r>
    <r>
      <rPr>
        <b/>
        <sz val="10"/>
        <color indexed="8"/>
        <rFont val="Arial"/>
        <family val="2"/>
      </rPr>
      <t>lysis on anaerobic decay</t>
    </r>
  </si>
  <si>
    <r>
      <t>b</t>
    </r>
    <r>
      <rPr>
        <vertAlign val="subscript"/>
        <sz val="12"/>
        <color indexed="8"/>
        <rFont val="Arial"/>
        <family val="2"/>
      </rPr>
      <t>P</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P</t>
    </r>
    <r>
      <rPr>
        <vertAlign val="subscript"/>
        <sz val="12"/>
        <color indexed="8"/>
        <rFont val="Arial"/>
        <family val="2"/>
      </rPr>
      <t>PP,HI</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r>
      <rPr>
        <i/>
        <sz val="12"/>
        <color indexed="8"/>
        <rFont val="Arial"/>
        <family val="2"/>
      </rPr>
      <t>Z</t>
    </r>
    <r>
      <rPr>
        <vertAlign val="subscript"/>
        <sz val="12"/>
        <color indexed="8"/>
        <rFont val="Arial"/>
        <family val="2"/>
      </rPr>
      <t>P</t>
    </r>
  </si>
  <si>
    <r>
      <t>S</t>
    </r>
    <r>
      <rPr>
        <b/>
        <vertAlign val="subscript"/>
        <sz val="10"/>
        <color indexed="8"/>
        <rFont val="Arial"/>
        <family val="2"/>
      </rPr>
      <t xml:space="preserve">PHB </t>
    </r>
    <r>
      <rPr>
        <b/>
        <sz val="10"/>
        <color indexed="8"/>
        <rFont val="Arial"/>
        <family val="2"/>
      </rPr>
      <t>lysis on anaerobic decay</t>
    </r>
  </si>
  <si>
    <r>
      <t>b</t>
    </r>
    <r>
      <rPr>
        <vertAlign val="subscript"/>
        <sz val="12"/>
        <color indexed="8"/>
        <rFont val="Arial"/>
        <family val="2"/>
      </rPr>
      <t>P</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N</t>
    </r>
    <r>
      <rPr>
        <vertAlign val="subscript"/>
        <sz val="12"/>
        <color indexed="8"/>
        <rFont val="Arial"/>
        <family val="2"/>
      </rPr>
      <t>O3</t>
    </r>
    <r>
      <rPr>
        <sz val="12"/>
        <color indexed="8"/>
        <rFont val="Arial"/>
        <family val="2"/>
      </rPr>
      <t>)]*[</t>
    </r>
    <r>
      <rPr>
        <i/>
        <sz val="12"/>
        <color indexed="8"/>
        <rFont val="Arial"/>
        <family val="2"/>
      </rPr>
      <t>S</t>
    </r>
    <r>
      <rPr>
        <vertAlign val="subscript"/>
        <sz val="12"/>
        <color indexed="8"/>
        <rFont val="Arial"/>
        <family val="2"/>
      </rPr>
      <t>PHB</t>
    </r>
    <r>
      <rPr>
        <sz val="12"/>
        <color indexed="8"/>
        <rFont val="Arial"/>
        <family val="2"/>
      </rPr>
      <t>/</t>
    </r>
    <r>
      <rPr>
        <i/>
        <sz val="12"/>
        <color indexed="8"/>
        <rFont val="Arial"/>
        <family val="2"/>
      </rPr>
      <t>Z</t>
    </r>
    <r>
      <rPr>
        <vertAlign val="subscript"/>
        <sz val="12"/>
        <color indexed="8"/>
        <rFont val="Arial"/>
        <family val="2"/>
      </rPr>
      <t>P</t>
    </r>
    <r>
      <rPr>
        <sz val="12"/>
        <color indexed="8"/>
        <rFont val="Arial"/>
        <family val="2"/>
      </rPr>
      <t>]*</t>
    </r>
    <r>
      <rPr>
        <i/>
        <sz val="12"/>
        <color indexed="8"/>
        <rFont val="Arial"/>
        <family val="2"/>
      </rPr>
      <t>Z</t>
    </r>
    <r>
      <rPr>
        <vertAlign val="subscript"/>
        <sz val="12"/>
        <color indexed="8"/>
        <rFont val="Arial"/>
        <family val="2"/>
      </rPr>
      <t>P</t>
    </r>
  </si>
  <si>
    <r>
      <t>b</t>
    </r>
    <r>
      <rPr>
        <vertAlign val="subscript"/>
        <sz val="12"/>
        <color indexed="8"/>
        <rFont val="Arial"/>
        <family val="2"/>
      </rPr>
      <t>PP</t>
    </r>
    <r>
      <rPr>
        <sz val="10"/>
        <color indexed="8"/>
        <rFont val="Arial"/>
        <family val="2"/>
      </rPr>
      <t>*</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K</t>
    </r>
    <r>
      <rPr>
        <vertAlign val="subscript"/>
        <sz val="12"/>
        <color indexed="8"/>
        <rFont val="Arial"/>
        <family val="2"/>
      </rPr>
      <t>O,HET</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P</t>
    </r>
    <r>
      <rPr>
        <vertAlign val="subscript"/>
        <sz val="12"/>
        <color indexed="8"/>
        <rFont val="Arial"/>
        <family val="2"/>
      </rPr>
      <t>PP,LO</t>
    </r>
    <r>
      <rPr>
        <sz val="12"/>
        <color indexed="8"/>
        <rFont val="Arial"/>
        <family val="2"/>
      </rPr>
      <t>/(</t>
    </r>
    <r>
      <rPr>
        <i/>
        <sz val="12"/>
        <color indexed="8"/>
        <rFont val="Arial"/>
        <family val="2"/>
      </rPr>
      <t>K</t>
    </r>
    <r>
      <rPr>
        <vertAlign val="subscript"/>
        <sz val="12"/>
        <color indexed="8"/>
        <rFont val="Arial"/>
        <family val="2"/>
      </rPr>
      <t>XP</t>
    </r>
    <r>
      <rPr>
        <sz val="12"/>
        <color indexed="8"/>
        <rFont val="Arial"/>
        <family val="2"/>
      </rPr>
      <t>+</t>
    </r>
    <r>
      <rPr>
        <i/>
        <sz val="12"/>
        <color indexed="8"/>
        <rFont val="Arial"/>
        <family val="2"/>
      </rPr>
      <t>P</t>
    </r>
    <r>
      <rPr>
        <vertAlign val="subscript"/>
        <sz val="12"/>
        <color indexed="8"/>
        <rFont val="Arial"/>
        <family val="2"/>
      </rPr>
      <t>PP,LO</t>
    </r>
    <r>
      <rPr>
        <sz val="12"/>
        <color indexed="8"/>
        <rFont val="Arial"/>
        <family val="2"/>
      </rPr>
      <t>)]*</t>
    </r>
    <r>
      <rPr>
        <i/>
        <sz val="12"/>
        <color indexed="8"/>
        <rFont val="Arial"/>
        <family val="2"/>
      </rPr>
      <t>Z</t>
    </r>
    <r>
      <rPr>
        <vertAlign val="subscript"/>
        <sz val="12"/>
        <color indexed="8"/>
        <rFont val="Arial"/>
        <family val="2"/>
      </rPr>
      <t>P</t>
    </r>
  </si>
  <si>
    <r>
      <t>Sequestration of S</t>
    </r>
    <r>
      <rPr>
        <b/>
        <vertAlign val="subscript"/>
        <sz val="10"/>
        <color indexed="8"/>
        <rFont val="Arial"/>
        <family val="2"/>
      </rPr>
      <t>CFA</t>
    </r>
    <r>
      <rPr>
        <b/>
        <sz val="10"/>
        <color indexed="8"/>
        <rFont val="Arial"/>
        <family val="2"/>
      </rPr>
      <t xml:space="preserve"> by Z</t>
    </r>
    <r>
      <rPr>
        <b/>
        <vertAlign val="subscript"/>
        <sz val="10"/>
        <color indexed="8"/>
        <rFont val="Arial"/>
        <family val="2"/>
      </rPr>
      <t>P</t>
    </r>
  </si>
  <si>
    <r>
      <t>-</t>
    </r>
    <r>
      <rPr>
        <i/>
        <sz val="12"/>
        <color indexed="8"/>
        <rFont val="Arial"/>
        <family val="2"/>
      </rPr>
      <t>f</t>
    </r>
    <r>
      <rPr>
        <vertAlign val="subscript"/>
        <sz val="12"/>
        <color indexed="8"/>
        <rFont val="Arial"/>
        <family val="2"/>
      </rPr>
      <t>P,REL</t>
    </r>
  </si>
  <si>
    <r>
      <t>(1-</t>
    </r>
    <r>
      <rPr>
        <i/>
        <sz val="12"/>
        <color indexed="10"/>
        <rFont val="Arial"/>
        <family val="2"/>
      </rPr>
      <t>Y</t>
    </r>
    <r>
      <rPr>
        <vertAlign val="subscript"/>
        <sz val="12"/>
        <color indexed="10"/>
        <rFont val="Arial"/>
        <family val="2"/>
      </rPr>
      <t>PHB</t>
    </r>
    <r>
      <rPr>
        <sz val="12"/>
        <color indexed="10"/>
        <rFont val="Arial"/>
        <family val="2"/>
      </rPr>
      <t>)</t>
    </r>
    <r>
      <rPr>
        <i/>
        <sz val="12"/>
        <color indexed="10"/>
        <rFont val="Arial"/>
        <family val="2"/>
      </rPr>
      <t>/i</t>
    </r>
    <r>
      <rPr>
        <vertAlign val="subscript"/>
        <sz val="12"/>
        <color indexed="10"/>
        <rFont val="Arial"/>
        <family val="2"/>
      </rPr>
      <t>COD_H2</t>
    </r>
  </si>
  <si>
    <r>
      <t>K</t>
    </r>
    <r>
      <rPr>
        <vertAlign val="subscript"/>
        <sz val="12"/>
        <color indexed="8"/>
        <rFont val="Arial"/>
        <family val="2"/>
      </rPr>
      <t>P</t>
    </r>
    <r>
      <rPr>
        <sz val="12"/>
        <color indexed="8"/>
        <rFont val="Arial"/>
        <family val="2"/>
      </rPr>
      <t>*[</t>
    </r>
    <r>
      <rPr>
        <i/>
        <sz val="12"/>
        <color indexed="8"/>
        <rFont val="Arial"/>
        <family val="2"/>
      </rPr>
      <t>S</t>
    </r>
    <r>
      <rPr>
        <vertAlign val="subscript"/>
        <sz val="12"/>
        <color indexed="8"/>
        <rFont val="Arial"/>
        <family val="2"/>
      </rPr>
      <t>BSA</t>
    </r>
    <r>
      <rPr>
        <sz val="12"/>
        <color indexed="8"/>
        <rFont val="Arial"/>
        <family val="2"/>
      </rPr>
      <t>/(</t>
    </r>
    <r>
      <rPr>
        <i/>
        <sz val="12"/>
        <color indexed="8"/>
        <rFont val="Arial"/>
        <family val="2"/>
      </rPr>
      <t>K</t>
    </r>
    <r>
      <rPr>
        <vertAlign val="subscript"/>
        <sz val="12"/>
        <color indexed="8"/>
        <rFont val="Arial"/>
        <family val="2"/>
      </rPr>
      <t>SSEQ</t>
    </r>
    <r>
      <rPr>
        <sz val="12"/>
        <color indexed="8"/>
        <rFont val="Arial"/>
        <family val="2"/>
      </rPr>
      <t>+</t>
    </r>
    <r>
      <rPr>
        <i/>
        <sz val="12"/>
        <color indexed="8"/>
        <rFont val="Arial"/>
        <family val="2"/>
      </rPr>
      <t>S</t>
    </r>
    <r>
      <rPr>
        <vertAlign val="subscript"/>
        <sz val="12"/>
        <color indexed="8"/>
        <rFont val="Arial"/>
        <family val="2"/>
      </rPr>
      <t>BSA</t>
    </r>
    <r>
      <rPr>
        <sz val="12"/>
        <color indexed="8"/>
        <rFont val="Arial"/>
        <family val="2"/>
      </rPr>
      <t>)]*[</t>
    </r>
    <r>
      <rPr>
        <i/>
        <sz val="12"/>
        <color indexed="8"/>
        <rFont val="Arial"/>
        <family val="2"/>
      </rPr>
      <t>P</t>
    </r>
    <r>
      <rPr>
        <vertAlign val="subscript"/>
        <sz val="12"/>
        <color indexed="8"/>
        <rFont val="Arial"/>
        <family val="2"/>
      </rPr>
      <t>PP,LO</t>
    </r>
    <r>
      <rPr>
        <sz val="12"/>
        <color indexed="8"/>
        <rFont val="Arial"/>
        <family val="2"/>
      </rPr>
      <t>/(</t>
    </r>
    <r>
      <rPr>
        <i/>
        <sz val="12"/>
        <color indexed="8"/>
        <rFont val="Arial"/>
        <family val="2"/>
      </rPr>
      <t>K</t>
    </r>
    <r>
      <rPr>
        <vertAlign val="subscript"/>
        <sz val="12"/>
        <color indexed="8"/>
        <rFont val="Arial"/>
        <family val="2"/>
      </rPr>
      <t>XP</t>
    </r>
    <r>
      <rPr>
        <sz val="12"/>
        <color indexed="8"/>
        <rFont val="Arial"/>
        <family val="2"/>
      </rPr>
      <t>+</t>
    </r>
    <r>
      <rPr>
        <i/>
        <sz val="12"/>
        <color indexed="8"/>
        <rFont val="Arial"/>
        <family val="2"/>
      </rPr>
      <t>P</t>
    </r>
    <r>
      <rPr>
        <vertAlign val="subscript"/>
        <sz val="12"/>
        <color indexed="8"/>
        <rFont val="Arial"/>
        <family val="2"/>
      </rPr>
      <t>PP,LO</t>
    </r>
    <r>
      <rPr>
        <sz val="12"/>
        <color indexed="8"/>
        <rFont val="Arial"/>
        <family val="2"/>
      </rPr>
      <t>)]*</t>
    </r>
    <r>
      <rPr>
        <i/>
        <sz val="12"/>
        <color indexed="8"/>
        <rFont val="Arial"/>
        <family val="2"/>
      </rPr>
      <t>Z</t>
    </r>
    <r>
      <rPr>
        <vertAlign val="subscript"/>
        <sz val="12"/>
        <color indexed="8"/>
        <rFont val="Arial"/>
        <family val="2"/>
      </rPr>
      <t>P</t>
    </r>
  </si>
  <si>
    <r>
      <t>N content of X</t>
    </r>
    <r>
      <rPr>
        <vertAlign val="subscript"/>
        <sz val="10"/>
        <rFont val="Arial"/>
        <family val="2"/>
      </rPr>
      <t>OHO</t>
    </r>
  </si>
  <si>
    <r>
      <t>g N.g X</t>
    </r>
    <r>
      <rPr>
        <vertAlign val="subscript"/>
        <sz val="8"/>
        <rFont val="Arial"/>
        <family val="2"/>
      </rPr>
      <t>OHO</t>
    </r>
    <r>
      <rPr>
        <vertAlign val="superscript"/>
        <sz val="10"/>
        <rFont val="Arial"/>
        <family val="2"/>
      </rPr>
      <t>-1</t>
    </r>
  </si>
  <si>
    <r>
      <t>N content of products from X</t>
    </r>
    <r>
      <rPr>
        <vertAlign val="subscript"/>
        <sz val="10"/>
        <rFont val="Arial"/>
        <family val="2"/>
      </rPr>
      <t>OHO</t>
    </r>
  </si>
  <si>
    <r>
      <t>N content of X</t>
    </r>
    <r>
      <rPr>
        <vertAlign val="subscript"/>
        <sz val="10"/>
        <rFont val="Arial"/>
        <family val="2"/>
      </rPr>
      <t>PAO</t>
    </r>
    <r>
      <rPr>
        <sz val="10"/>
        <rFont val="Arial"/>
        <family val="2"/>
      </rPr>
      <t xml:space="preserve"> </t>
    </r>
  </si>
  <si>
    <r>
      <t>g N.g X</t>
    </r>
    <r>
      <rPr>
        <vertAlign val="subscript"/>
        <sz val="8"/>
        <rFont val="Arial"/>
        <family val="2"/>
      </rPr>
      <t>PAO</t>
    </r>
    <r>
      <rPr>
        <vertAlign val="superscript"/>
        <sz val="10"/>
        <rFont val="Arial"/>
        <family val="2"/>
      </rPr>
      <t>-1</t>
    </r>
  </si>
  <si>
    <r>
      <t>N content of products from X</t>
    </r>
    <r>
      <rPr>
        <vertAlign val="subscript"/>
        <sz val="10"/>
        <rFont val="Arial"/>
        <family val="2"/>
      </rPr>
      <t>PAO</t>
    </r>
  </si>
  <si>
    <r>
      <t>N content of X</t>
    </r>
    <r>
      <rPr>
        <vertAlign val="subscript"/>
        <sz val="10"/>
        <rFont val="Arial"/>
        <family val="2"/>
      </rPr>
      <t>ANO</t>
    </r>
  </si>
  <si>
    <r>
      <t>g N.g X</t>
    </r>
    <r>
      <rPr>
        <vertAlign val="subscript"/>
        <sz val="8"/>
        <rFont val="Arial"/>
        <family val="2"/>
      </rPr>
      <t>ANO</t>
    </r>
    <r>
      <rPr>
        <vertAlign val="superscript"/>
        <sz val="10"/>
        <rFont val="Arial"/>
        <family val="2"/>
      </rPr>
      <t>-1</t>
    </r>
  </si>
  <si>
    <r>
      <t>N content of products from X</t>
    </r>
    <r>
      <rPr>
        <vertAlign val="subscript"/>
        <sz val="10"/>
        <rFont val="Arial"/>
        <family val="2"/>
      </rPr>
      <t>ANO</t>
    </r>
  </si>
  <si>
    <r>
      <t>P content of X</t>
    </r>
    <r>
      <rPr>
        <vertAlign val="subscript"/>
        <sz val="10"/>
        <rFont val="Arial"/>
        <family val="2"/>
      </rPr>
      <t>OHO</t>
    </r>
  </si>
  <si>
    <r>
      <t>g P.g X</t>
    </r>
    <r>
      <rPr>
        <vertAlign val="subscript"/>
        <sz val="8"/>
        <rFont val="Arial"/>
        <family val="2"/>
      </rPr>
      <t>OHO</t>
    </r>
    <r>
      <rPr>
        <vertAlign val="superscript"/>
        <sz val="10"/>
        <rFont val="Arial"/>
        <family val="2"/>
      </rPr>
      <t>-1</t>
    </r>
  </si>
  <si>
    <r>
      <t>P content of products from X</t>
    </r>
    <r>
      <rPr>
        <vertAlign val="subscript"/>
        <sz val="10"/>
        <rFont val="Arial"/>
        <family val="2"/>
      </rPr>
      <t>OHO</t>
    </r>
  </si>
  <si>
    <r>
      <t>g P.g X</t>
    </r>
    <r>
      <rPr>
        <vertAlign val="subscript"/>
        <sz val="8"/>
        <rFont val="Arial"/>
        <family val="2"/>
      </rPr>
      <t>UE</t>
    </r>
    <r>
      <rPr>
        <vertAlign val="superscript"/>
        <sz val="10"/>
        <rFont val="Arial"/>
        <family val="2"/>
      </rPr>
      <t>-1</t>
    </r>
  </si>
  <si>
    <r>
      <t>P content of X</t>
    </r>
    <r>
      <rPr>
        <vertAlign val="subscript"/>
        <sz val="10"/>
        <rFont val="Arial"/>
        <family val="2"/>
      </rPr>
      <t>PAO</t>
    </r>
    <r>
      <rPr>
        <sz val="10"/>
        <rFont val="Arial"/>
        <family val="2"/>
      </rPr>
      <t xml:space="preserve"> </t>
    </r>
  </si>
  <si>
    <r>
      <t>g P.g X</t>
    </r>
    <r>
      <rPr>
        <vertAlign val="subscript"/>
        <sz val="8"/>
        <rFont val="Arial"/>
        <family val="2"/>
      </rPr>
      <t>PAO</t>
    </r>
    <r>
      <rPr>
        <vertAlign val="superscript"/>
        <sz val="10"/>
        <rFont val="Arial"/>
        <family val="2"/>
      </rPr>
      <t>-1</t>
    </r>
  </si>
  <si>
    <r>
      <t>Aerobic growth of X</t>
    </r>
    <r>
      <rPr>
        <b/>
        <vertAlign val="subscript"/>
        <sz val="10"/>
        <color indexed="8"/>
        <rFont val="Arial"/>
        <family val="2"/>
      </rPr>
      <t>OHO</t>
    </r>
    <r>
      <rPr>
        <b/>
        <sz val="10"/>
        <color indexed="8"/>
        <rFont val="Arial"/>
        <family val="2"/>
      </rPr>
      <t xml:space="preserve"> on S</t>
    </r>
    <r>
      <rPr>
        <b/>
        <vertAlign val="subscript"/>
        <sz val="10"/>
        <color indexed="8"/>
        <rFont val="Arial"/>
        <family val="2"/>
      </rPr>
      <t>F</t>
    </r>
    <r>
      <rPr>
        <b/>
        <sz val="10"/>
        <color indexed="8"/>
        <rFont val="Arial"/>
        <family val="2"/>
      </rPr>
      <t xml:space="preserve"> with S</t>
    </r>
    <r>
      <rPr>
        <b/>
        <vertAlign val="subscript"/>
        <sz val="10"/>
        <color indexed="8"/>
        <rFont val="Arial"/>
        <family val="2"/>
      </rPr>
      <t>NHx</t>
    </r>
  </si>
  <si>
    <r>
      <t>-1/</t>
    </r>
    <r>
      <rPr>
        <i/>
        <sz val="12"/>
        <color indexed="8"/>
        <rFont val="Arial"/>
        <family val="2"/>
      </rPr>
      <t>Y</t>
    </r>
    <r>
      <rPr>
        <vertAlign val="subscript"/>
        <sz val="12"/>
        <color indexed="8"/>
        <rFont val="Arial"/>
        <family val="2"/>
      </rPr>
      <t>OHO,Ox</t>
    </r>
  </si>
  <si>
    <r>
      <t>-</t>
    </r>
    <r>
      <rPr>
        <i/>
        <sz val="12"/>
        <color indexed="8"/>
        <rFont val="Arial"/>
        <family val="2"/>
      </rPr>
      <t>i</t>
    </r>
    <r>
      <rPr>
        <vertAlign val="subscript"/>
        <sz val="12"/>
        <color indexed="8"/>
        <rFont val="Arial"/>
        <family val="2"/>
      </rPr>
      <t>P_OHO</t>
    </r>
  </si>
  <si>
    <r>
      <t>-</t>
    </r>
    <r>
      <rPr>
        <i/>
        <sz val="12"/>
        <color indexed="8"/>
        <rFont val="Arial"/>
        <family val="2"/>
      </rPr>
      <t>i</t>
    </r>
    <r>
      <rPr>
        <vertAlign val="subscript"/>
        <sz val="12"/>
        <color indexed="8"/>
        <rFont val="Arial"/>
        <family val="2"/>
      </rPr>
      <t>N_OHO</t>
    </r>
  </si>
  <si>
    <r>
      <t>-(1-</t>
    </r>
    <r>
      <rPr>
        <i/>
        <sz val="12"/>
        <color indexed="8"/>
        <rFont val="Arial"/>
        <family val="2"/>
      </rPr>
      <t>Y</t>
    </r>
    <r>
      <rPr>
        <vertAlign val="subscript"/>
        <sz val="12"/>
        <color indexed="8"/>
        <rFont val="Arial"/>
        <family val="2"/>
      </rPr>
      <t>OHO,Ox</t>
    </r>
    <r>
      <rPr>
        <sz val="12"/>
        <color indexed="8"/>
        <rFont val="Arial"/>
        <family val="2"/>
      </rPr>
      <t>)/</t>
    </r>
    <r>
      <rPr>
        <i/>
        <sz val="12"/>
        <color indexed="8"/>
        <rFont val="Arial"/>
        <family val="2"/>
      </rPr>
      <t>Y</t>
    </r>
    <r>
      <rPr>
        <vertAlign val="subscript"/>
        <sz val="12"/>
        <color indexed="8"/>
        <rFont val="Arial"/>
        <family val="2"/>
      </rPr>
      <t>OHO,Ox</t>
    </r>
  </si>
  <si>
    <r>
      <t>μ</t>
    </r>
    <r>
      <rPr>
        <vertAlign val="subscript"/>
        <sz val="12"/>
        <color indexed="8"/>
        <rFont val="Arial"/>
        <family val="2"/>
      </rPr>
      <t>OHO,Max</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SF,OHO</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</si>
  <si>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P content of products from X</t>
    </r>
    <r>
      <rPr>
        <vertAlign val="subscript"/>
        <sz val="10"/>
        <rFont val="Arial"/>
        <family val="2"/>
      </rPr>
      <t>PAO</t>
    </r>
  </si>
  <si>
    <r>
      <t>Anoxic growth of X</t>
    </r>
    <r>
      <rPr>
        <b/>
        <vertAlign val="subscript"/>
        <sz val="10"/>
        <color indexed="8"/>
        <rFont val="Arial"/>
        <family val="2"/>
      </rPr>
      <t>OHO</t>
    </r>
    <r>
      <rPr>
        <b/>
        <sz val="10"/>
        <color indexed="8"/>
        <rFont val="Arial"/>
        <family val="2"/>
      </rPr>
      <t xml:space="preserve"> on S</t>
    </r>
    <r>
      <rPr>
        <b/>
        <vertAlign val="subscript"/>
        <sz val="10"/>
        <color indexed="8"/>
        <rFont val="Arial"/>
        <family val="2"/>
      </rPr>
      <t>F</t>
    </r>
    <r>
      <rPr>
        <b/>
        <sz val="10"/>
        <color indexed="8"/>
        <rFont val="Arial"/>
        <family val="2"/>
      </rPr>
      <t xml:space="preserve"> with S</t>
    </r>
    <r>
      <rPr>
        <b/>
        <vertAlign val="subscript"/>
        <sz val="10"/>
        <color indexed="8"/>
        <rFont val="Arial"/>
        <family val="2"/>
      </rPr>
      <t>NHx</t>
    </r>
  </si>
  <si>
    <r>
      <t>-1/</t>
    </r>
    <r>
      <rPr>
        <i/>
        <sz val="12"/>
        <color indexed="8"/>
        <rFont val="Arial"/>
        <family val="2"/>
      </rPr>
      <t>Y</t>
    </r>
    <r>
      <rPr>
        <vertAlign val="subscript"/>
        <sz val="12"/>
        <color indexed="8"/>
        <rFont val="Arial"/>
        <family val="2"/>
      </rPr>
      <t>OHO,Ax</t>
    </r>
  </si>
  <si>
    <r>
      <t>-(1-</t>
    </r>
    <r>
      <rPr>
        <i/>
        <sz val="12"/>
        <color indexed="8"/>
        <rFont val="Arial"/>
        <family val="2"/>
      </rPr>
      <t>Y</t>
    </r>
    <r>
      <rPr>
        <vertAlign val="subscript"/>
        <sz val="12"/>
        <color indexed="8"/>
        <rFont val="Arial"/>
        <family val="2"/>
      </rPr>
      <t>OHO,Ax</t>
    </r>
    <r>
      <rPr>
        <sz val="12"/>
        <color indexed="8"/>
        <rFont val="Arial"/>
        <family val="2"/>
      </rPr>
      <t>)/(</t>
    </r>
    <r>
      <rPr>
        <i/>
        <sz val="12"/>
        <color indexed="8"/>
        <rFont val="Arial"/>
        <family val="2"/>
      </rPr>
      <t>i</t>
    </r>
    <r>
      <rPr>
        <vertAlign val="subscript"/>
        <sz val="12"/>
        <color indexed="8"/>
        <rFont val="Arial"/>
        <family val="2"/>
      </rPr>
      <t>NOx,N2</t>
    </r>
    <r>
      <rPr>
        <sz val="12"/>
        <color indexed="8"/>
        <rFont val="Arial"/>
        <family val="2"/>
      </rPr>
      <t>*</t>
    </r>
    <r>
      <rPr>
        <i/>
        <sz val="12"/>
        <color indexed="8"/>
        <rFont val="Arial"/>
        <family val="2"/>
      </rPr>
      <t>Y</t>
    </r>
    <r>
      <rPr>
        <vertAlign val="subscript"/>
        <sz val="12"/>
        <color indexed="8"/>
        <rFont val="Arial"/>
        <family val="2"/>
      </rPr>
      <t>OHO,Ax</t>
    </r>
    <r>
      <rPr>
        <sz val="12"/>
        <color indexed="8"/>
        <rFont val="Arial"/>
        <family val="2"/>
      </rPr>
      <t>)</t>
    </r>
  </si>
  <si>
    <r>
      <t>(1-</t>
    </r>
    <r>
      <rPr>
        <i/>
        <sz val="12"/>
        <color indexed="10"/>
        <rFont val="Arial"/>
        <family val="2"/>
      </rPr>
      <t>Y</t>
    </r>
    <r>
      <rPr>
        <vertAlign val="subscript"/>
        <sz val="12"/>
        <color indexed="10"/>
        <rFont val="Arial"/>
        <family val="2"/>
      </rPr>
      <t>OHO,Ax</t>
    </r>
    <r>
      <rPr>
        <sz val="12"/>
        <color indexed="10"/>
        <rFont val="Arial"/>
        <family val="2"/>
      </rPr>
      <t>)/(</t>
    </r>
    <r>
      <rPr>
        <i/>
        <sz val="12"/>
        <color indexed="10"/>
        <rFont val="Arial"/>
        <family val="2"/>
      </rPr>
      <t>i</t>
    </r>
    <r>
      <rPr>
        <vertAlign val="subscript"/>
        <sz val="12"/>
        <color indexed="10"/>
        <rFont val="Arial"/>
        <family val="2"/>
      </rPr>
      <t>NOx,N2</t>
    </r>
    <r>
      <rPr>
        <sz val="12"/>
        <color indexed="10"/>
        <rFont val="Arial"/>
        <family val="2"/>
      </rPr>
      <t>*</t>
    </r>
    <r>
      <rPr>
        <i/>
        <sz val="12"/>
        <color indexed="10"/>
        <rFont val="Arial"/>
        <family val="2"/>
      </rPr>
      <t>Y</t>
    </r>
    <r>
      <rPr>
        <vertAlign val="subscript"/>
        <sz val="12"/>
        <color indexed="10"/>
        <rFont val="Arial"/>
        <family val="2"/>
      </rPr>
      <t>OHO,Ax</t>
    </r>
    <r>
      <rPr>
        <sz val="12"/>
        <color indexed="10"/>
        <rFont val="Arial"/>
        <family val="2"/>
      </rPr>
      <t>)</t>
    </r>
  </si>
  <si>
    <r>
      <t>μ</t>
    </r>
    <r>
      <rPr>
        <vertAlign val="subscript"/>
        <sz val="12"/>
        <color indexed="8"/>
        <rFont val="Arial"/>
        <family val="2"/>
      </rPr>
      <t>OHO,Max</t>
    </r>
    <r>
      <rPr>
        <sz val="12"/>
        <color indexed="8"/>
        <rFont val="Arial"/>
        <family val="2"/>
      </rPr>
      <t>*</t>
    </r>
    <r>
      <rPr>
        <i/>
        <sz val="12"/>
        <color indexed="8"/>
        <rFont val="Arial"/>
        <family val="2"/>
      </rPr>
      <t>η</t>
    </r>
    <r>
      <rPr>
        <vertAlign val="subscript"/>
        <sz val="12"/>
        <color indexed="8"/>
        <rFont val="Arial"/>
        <family val="2"/>
      </rPr>
      <t>μOHO,Ax</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SF,OHO</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</si>
  <si>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P content of X</t>
    </r>
    <r>
      <rPr>
        <vertAlign val="subscript"/>
        <sz val="10"/>
        <rFont val="Arial"/>
        <family val="2"/>
      </rPr>
      <t>ANO</t>
    </r>
  </si>
  <si>
    <r>
      <t>g P.g X</t>
    </r>
    <r>
      <rPr>
        <vertAlign val="subscript"/>
        <sz val="8"/>
        <rFont val="Arial"/>
        <family val="2"/>
      </rPr>
      <t>ANO</t>
    </r>
    <r>
      <rPr>
        <vertAlign val="superscript"/>
        <sz val="10"/>
        <rFont val="Arial"/>
        <family val="2"/>
      </rPr>
      <t>-1</t>
    </r>
  </si>
  <si>
    <r>
      <t>Aerobic growth of X</t>
    </r>
    <r>
      <rPr>
        <b/>
        <vertAlign val="subscript"/>
        <sz val="10"/>
        <color indexed="8"/>
        <rFont val="Arial"/>
        <family val="2"/>
      </rPr>
      <t>OHO</t>
    </r>
    <r>
      <rPr>
        <b/>
        <sz val="10"/>
        <color indexed="8"/>
        <rFont val="Arial"/>
        <family val="2"/>
      </rPr>
      <t xml:space="preserve"> on S</t>
    </r>
    <r>
      <rPr>
        <b/>
        <vertAlign val="subscript"/>
        <sz val="10"/>
        <color indexed="8"/>
        <rFont val="Arial"/>
        <family val="2"/>
      </rPr>
      <t xml:space="preserve">F </t>
    </r>
    <r>
      <rPr>
        <b/>
        <sz val="10"/>
        <color indexed="8"/>
        <rFont val="Arial"/>
        <family val="2"/>
      </rPr>
      <t>with S</t>
    </r>
    <r>
      <rPr>
        <b/>
        <vertAlign val="subscript"/>
        <sz val="10"/>
        <color indexed="8"/>
        <rFont val="Arial"/>
        <family val="2"/>
      </rPr>
      <t>NOx</t>
    </r>
  </si>
  <si>
    <r>
      <t>-(1-</t>
    </r>
    <r>
      <rPr>
        <i/>
        <sz val="12"/>
        <color indexed="8"/>
        <rFont val="Arial"/>
        <family val="2"/>
      </rPr>
      <t>Y</t>
    </r>
    <r>
      <rPr>
        <vertAlign val="subscript"/>
        <sz val="12"/>
        <color indexed="8"/>
        <rFont val="Arial"/>
        <family val="2"/>
      </rPr>
      <t>OHO,Ox</t>
    </r>
    <r>
      <rPr>
        <sz val="12"/>
        <color indexed="8"/>
        <rFont val="Arial"/>
        <family val="2"/>
      </rPr>
      <t>)/</t>
    </r>
    <r>
      <rPr>
        <i/>
        <sz val="12"/>
        <color indexed="8"/>
        <rFont val="Arial"/>
        <family val="2"/>
      </rPr>
      <t>Y</t>
    </r>
    <r>
      <rPr>
        <vertAlign val="subscript"/>
        <sz val="12"/>
        <color indexed="8"/>
        <rFont val="Arial"/>
        <family val="2"/>
      </rPr>
      <t>OHO,Ox</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i</t>
    </r>
    <r>
      <rPr>
        <vertAlign val="subscript"/>
        <sz val="12"/>
        <color indexed="10"/>
        <rFont val="Arial"/>
        <family val="2"/>
      </rPr>
      <t>N_OHO</t>
    </r>
  </si>
  <si>
    <r>
      <t>μ</t>
    </r>
    <r>
      <rPr>
        <vertAlign val="subscript"/>
        <sz val="12"/>
        <color indexed="8"/>
        <rFont val="Arial"/>
        <family val="2"/>
      </rPr>
      <t>OHO,Max</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SF,OHO</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</si>
  <si>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P content of products from X</t>
    </r>
    <r>
      <rPr>
        <vertAlign val="subscript"/>
        <sz val="10"/>
        <rFont val="Arial"/>
        <family val="2"/>
      </rPr>
      <t>ANO</t>
    </r>
  </si>
  <si>
    <r>
      <t>Anoxic growth of X</t>
    </r>
    <r>
      <rPr>
        <b/>
        <vertAlign val="subscript"/>
        <sz val="10"/>
        <color indexed="8"/>
        <rFont val="Arial"/>
        <family val="2"/>
      </rPr>
      <t>OHO</t>
    </r>
    <r>
      <rPr>
        <b/>
        <sz val="10"/>
        <color indexed="8"/>
        <rFont val="Arial"/>
        <family val="2"/>
      </rPr>
      <t xml:space="preserve"> on S</t>
    </r>
    <r>
      <rPr>
        <b/>
        <vertAlign val="subscript"/>
        <sz val="10"/>
        <color indexed="8"/>
        <rFont val="Arial"/>
        <family val="2"/>
      </rPr>
      <t>F</t>
    </r>
    <r>
      <rPr>
        <b/>
        <sz val="10"/>
        <color indexed="8"/>
        <rFont val="Arial"/>
        <family val="2"/>
      </rPr>
      <t xml:space="preserve"> with S</t>
    </r>
    <r>
      <rPr>
        <b/>
        <vertAlign val="subscript"/>
        <sz val="10"/>
        <color indexed="8"/>
        <rFont val="Arial"/>
        <family val="2"/>
      </rPr>
      <t>NOx</t>
    </r>
  </si>
  <si>
    <r>
      <t>-1/</t>
    </r>
    <r>
      <rPr>
        <i/>
        <sz val="12"/>
        <color indexed="8"/>
        <rFont val="Arial"/>
        <family val="2"/>
      </rPr>
      <t>Y</t>
    </r>
    <r>
      <rPr>
        <vertAlign val="subscript"/>
        <sz val="12"/>
        <color indexed="8"/>
        <rFont val="Arial"/>
        <family val="2"/>
      </rPr>
      <t>OHO,Ax</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i</t>
    </r>
    <r>
      <rPr>
        <vertAlign val="subscript"/>
        <sz val="12"/>
        <color indexed="10"/>
        <rFont val="Arial"/>
        <family val="2"/>
      </rPr>
      <t>N_OHO</t>
    </r>
  </si>
  <si>
    <r>
      <t>-</t>
    </r>
    <r>
      <rPr>
        <i/>
        <sz val="12"/>
        <color indexed="8"/>
        <rFont val="Arial"/>
        <family val="2"/>
      </rPr>
      <t>i</t>
    </r>
    <r>
      <rPr>
        <vertAlign val="subscript"/>
        <sz val="12"/>
        <color indexed="8"/>
        <rFont val="Arial"/>
        <family val="2"/>
      </rPr>
      <t>N_OHO</t>
    </r>
    <r>
      <rPr>
        <sz val="12"/>
        <color indexed="8"/>
        <rFont val="Arial"/>
        <family val="2"/>
      </rPr>
      <t>-(1-</t>
    </r>
    <r>
      <rPr>
        <i/>
        <sz val="12"/>
        <color indexed="8"/>
        <rFont val="Arial"/>
        <family val="2"/>
      </rPr>
      <t>Y</t>
    </r>
    <r>
      <rPr>
        <vertAlign val="subscript"/>
        <sz val="12"/>
        <color indexed="8"/>
        <rFont val="Arial"/>
        <family val="2"/>
      </rPr>
      <t>OHO,Ax</t>
    </r>
    <r>
      <rPr>
        <sz val="12"/>
        <color indexed="8"/>
        <rFont val="Arial"/>
        <family val="2"/>
      </rPr>
      <t>)/(</t>
    </r>
    <r>
      <rPr>
        <i/>
        <sz val="12"/>
        <color indexed="8"/>
        <rFont val="Arial"/>
        <family val="2"/>
      </rPr>
      <t>i</t>
    </r>
    <r>
      <rPr>
        <vertAlign val="subscript"/>
        <sz val="12"/>
        <color indexed="8"/>
        <rFont val="Arial"/>
        <family val="2"/>
      </rPr>
      <t>NOx,N2</t>
    </r>
    <r>
      <rPr>
        <sz val="12"/>
        <color indexed="8"/>
        <rFont val="Arial"/>
        <family val="2"/>
      </rPr>
      <t>*</t>
    </r>
    <r>
      <rPr>
        <i/>
        <sz val="12"/>
        <color indexed="8"/>
        <rFont val="Arial"/>
        <family val="2"/>
      </rPr>
      <t>Y</t>
    </r>
    <r>
      <rPr>
        <vertAlign val="subscript"/>
        <sz val="12"/>
        <color indexed="8"/>
        <rFont val="Arial"/>
        <family val="2"/>
      </rPr>
      <t>OHO,Ax</t>
    </r>
    <r>
      <rPr>
        <sz val="12"/>
        <color indexed="8"/>
        <rFont val="Arial"/>
        <family val="2"/>
      </rPr>
      <t>)</t>
    </r>
  </si>
  <si>
    <r>
      <t>μ</t>
    </r>
    <r>
      <rPr>
        <vertAlign val="subscript"/>
        <sz val="12"/>
        <color indexed="8"/>
        <rFont val="Arial"/>
        <family val="2"/>
      </rPr>
      <t>OHO,Max</t>
    </r>
    <r>
      <rPr>
        <sz val="12"/>
        <color indexed="8"/>
        <rFont val="Arial"/>
        <family val="2"/>
      </rPr>
      <t>*</t>
    </r>
    <r>
      <rPr>
        <i/>
        <sz val="12"/>
        <color indexed="8"/>
        <rFont val="Arial"/>
        <family val="2"/>
      </rPr>
      <t>η</t>
    </r>
    <r>
      <rPr>
        <vertAlign val="subscript"/>
        <sz val="12"/>
        <color indexed="8"/>
        <rFont val="Arial"/>
        <family val="2"/>
      </rPr>
      <t>μOHO,Ax</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SF,OHO</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</si>
  <si>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g X</t>
    </r>
    <r>
      <rPr>
        <vertAlign val="subscript"/>
        <sz val="8"/>
        <rFont val="Arial"/>
        <family val="2"/>
      </rPr>
      <t>OHO</t>
    </r>
    <r>
      <rPr>
        <sz val="8"/>
        <rFont val="Arial"/>
        <family val="2"/>
      </rPr>
      <t>.g VSS</t>
    </r>
    <r>
      <rPr>
        <vertAlign val="superscript"/>
        <sz val="10"/>
        <rFont val="Arial"/>
        <family val="2"/>
      </rPr>
      <t>-1</t>
    </r>
  </si>
  <si>
    <r>
      <t>Aerobic growth of X</t>
    </r>
    <r>
      <rPr>
        <b/>
        <vertAlign val="subscript"/>
        <sz val="10"/>
        <color indexed="8"/>
        <rFont val="Arial"/>
        <family val="2"/>
      </rPr>
      <t>OHO</t>
    </r>
    <r>
      <rPr>
        <b/>
        <sz val="10"/>
        <color indexed="8"/>
        <rFont val="Arial"/>
        <family val="2"/>
      </rPr>
      <t xml:space="preserve"> on S</t>
    </r>
    <r>
      <rPr>
        <b/>
        <vertAlign val="subscript"/>
        <sz val="10"/>
        <color indexed="8"/>
        <rFont val="Arial"/>
        <family val="2"/>
      </rPr>
      <t>Ac</t>
    </r>
    <r>
      <rPr>
        <b/>
        <sz val="10"/>
        <color indexed="8"/>
        <rFont val="Arial"/>
        <family val="2"/>
      </rPr>
      <t xml:space="preserve"> with S</t>
    </r>
    <r>
      <rPr>
        <b/>
        <vertAlign val="subscript"/>
        <sz val="10"/>
        <color indexed="8"/>
        <rFont val="Arial"/>
        <family val="2"/>
      </rPr>
      <t>NHx</t>
    </r>
  </si>
  <si>
    <r>
      <t>μ</t>
    </r>
    <r>
      <rPr>
        <vertAlign val="subscript"/>
        <sz val="12"/>
        <color indexed="8"/>
        <rFont val="Arial"/>
        <family val="2"/>
      </rPr>
      <t>OHO,Max</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K</t>
    </r>
    <r>
      <rPr>
        <vertAlign val="subscript"/>
        <sz val="12"/>
        <color indexed="8"/>
        <rFont val="Arial"/>
        <family val="2"/>
      </rPr>
      <t>Ac,OHO</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</si>
  <si>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g X</t>
    </r>
    <r>
      <rPr>
        <vertAlign val="subscript"/>
        <sz val="8"/>
        <rFont val="Arial"/>
        <family val="2"/>
      </rPr>
      <t>ANO</t>
    </r>
    <r>
      <rPr>
        <sz val="8"/>
        <rFont val="Arial"/>
        <family val="2"/>
      </rPr>
      <t>.g VSS</t>
    </r>
    <r>
      <rPr>
        <vertAlign val="superscript"/>
        <sz val="10"/>
        <rFont val="Arial"/>
        <family val="2"/>
      </rPr>
      <t>-1</t>
    </r>
  </si>
  <si>
    <r>
      <t>Anoxic growth of X</t>
    </r>
    <r>
      <rPr>
        <b/>
        <vertAlign val="subscript"/>
        <sz val="10"/>
        <color indexed="8"/>
        <rFont val="Arial"/>
        <family val="2"/>
      </rPr>
      <t>OHO</t>
    </r>
    <r>
      <rPr>
        <b/>
        <sz val="10"/>
        <color indexed="8"/>
        <rFont val="Arial"/>
        <family val="2"/>
      </rPr>
      <t xml:space="preserve"> on S</t>
    </r>
    <r>
      <rPr>
        <b/>
        <vertAlign val="subscript"/>
        <sz val="10"/>
        <color indexed="8"/>
        <rFont val="Arial"/>
        <family val="2"/>
      </rPr>
      <t>Ac</t>
    </r>
    <r>
      <rPr>
        <b/>
        <sz val="10"/>
        <color indexed="8"/>
        <rFont val="Arial"/>
        <family val="2"/>
      </rPr>
      <t xml:space="preserve"> with S</t>
    </r>
    <r>
      <rPr>
        <b/>
        <vertAlign val="subscript"/>
        <sz val="10"/>
        <color indexed="8"/>
        <rFont val="Arial"/>
        <family val="2"/>
      </rPr>
      <t>NHx</t>
    </r>
  </si>
  <si>
    <r>
      <t>μ</t>
    </r>
    <r>
      <rPr>
        <vertAlign val="subscript"/>
        <sz val="12"/>
        <color indexed="8"/>
        <rFont val="Arial"/>
        <family val="2"/>
      </rPr>
      <t>OHO,Max</t>
    </r>
    <r>
      <rPr>
        <sz val="12"/>
        <color indexed="8"/>
        <rFont val="Arial"/>
        <family val="2"/>
      </rPr>
      <t>*</t>
    </r>
    <r>
      <rPr>
        <i/>
        <sz val="12"/>
        <color indexed="8"/>
        <rFont val="Arial"/>
        <family val="2"/>
      </rPr>
      <t>η</t>
    </r>
    <r>
      <rPr>
        <vertAlign val="subscript"/>
        <sz val="12"/>
        <color indexed="8"/>
        <rFont val="Arial"/>
        <family val="2"/>
      </rPr>
      <t>μOHO,Ax</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K</t>
    </r>
    <r>
      <rPr>
        <vertAlign val="subscript"/>
        <sz val="12"/>
        <color indexed="8"/>
        <rFont val="Arial"/>
        <family val="2"/>
      </rPr>
      <t>Ac,OHO</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</si>
  <si>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g X</t>
    </r>
    <r>
      <rPr>
        <vertAlign val="subscript"/>
        <sz val="8"/>
        <rFont val="Arial"/>
        <family val="2"/>
      </rPr>
      <t>PAO</t>
    </r>
    <r>
      <rPr>
        <sz val="8"/>
        <rFont val="Arial"/>
        <family val="2"/>
      </rPr>
      <t>.g VSS</t>
    </r>
    <r>
      <rPr>
        <vertAlign val="superscript"/>
        <sz val="10"/>
        <rFont val="Arial"/>
        <family val="2"/>
      </rPr>
      <t>-1</t>
    </r>
  </si>
  <si>
    <r>
      <t>Aerobic growth of X</t>
    </r>
    <r>
      <rPr>
        <b/>
        <vertAlign val="subscript"/>
        <sz val="10"/>
        <color indexed="8"/>
        <rFont val="Arial"/>
        <family val="2"/>
      </rPr>
      <t>OHO</t>
    </r>
    <r>
      <rPr>
        <b/>
        <sz val="10"/>
        <color indexed="8"/>
        <rFont val="Arial"/>
        <family val="2"/>
      </rPr>
      <t xml:space="preserve"> on S</t>
    </r>
    <r>
      <rPr>
        <b/>
        <vertAlign val="subscript"/>
        <sz val="10"/>
        <color indexed="8"/>
        <rFont val="Arial"/>
        <family val="2"/>
      </rPr>
      <t>Ac</t>
    </r>
    <r>
      <rPr>
        <b/>
        <sz val="10"/>
        <color indexed="8"/>
        <rFont val="Arial"/>
        <family val="2"/>
      </rPr>
      <t xml:space="preserve"> with S</t>
    </r>
    <r>
      <rPr>
        <b/>
        <vertAlign val="subscript"/>
        <sz val="10"/>
        <color indexed="8"/>
        <rFont val="Arial"/>
        <family val="2"/>
      </rPr>
      <t>NOx</t>
    </r>
  </si>
  <si>
    <r>
      <t>μ</t>
    </r>
    <r>
      <rPr>
        <vertAlign val="subscript"/>
        <sz val="12"/>
        <color indexed="8"/>
        <rFont val="Arial"/>
        <family val="2"/>
      </rPr>
      <t>OHO,Max</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K</t>
    </r>
    <r>
      <rPr>
        <vertAlign val="subscript"/>
        <sz val="12"/>
        <color indexed="8"/>
        <rFont val="Arial"/>
        <family val="2"/>
      </rPr>
      <t>Ac,OHO</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</si>
  <si>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Anoxic growth of X</t>
    </r>
    <r>
      <rPr>
        <b/>
        <vertAlign val="subscript"/>
        <sz val="10"/>
        <color indexed="8"/>
        <rFont val="Arial"/>
        <family val="2"/>
      </rPr>
      <t>OHO</t>
    </r>
    <r>
      <rPr>
        <b/>
        <sz val="10"/>
        <color indexed="8"/>
        <rFont val="Arial"/>
        <family val="2"/>
      </rPr>
      <t xml:space="preserve"> on S</t>
    </r>
    <r>
      <rPr>
        <b/>
        <vertAlign val="subscript"/>
        <sz val="10"/>
        <color indexed="8"/>
        <rFont val="Arial"/>
        <family val="2"/>
      </rPr>
      <t xml:space="preserve">Ac </t>
    </r>
    <r>
      <rPr>
        <b/>
        <sz val="10"/>
        <color indexed="8"/>
        <rFont val="Arial"/>
        <family val="2"/>
      </rPr>
      <t>with S</t>
    </r>
    <r>
      <rPr>
        <b/>
        <vertAlign val="subscript"/>
        <sz val="10"/>
        <color indexed="8"/>
        <rFont val="Arial"/>
        <family val="2"/>
      </rPr>
      <t>NOx</t>
    </r>
  </si>
  <si>
    <r>
      <t>μ</t>
    </r>
    <r>
      <rPr>
        <vertAlign val="subscript"/>
        <sz val="12"/>
        <color indexed="8"/>
        <rFont val="Arial"/>
        <family val="2"/>
      </rPr>
      <t>OHO,Max</t>
    </r>
    <r>
      <rPr>
        <sz val="12"/>
        <color indexed="8"/>
        <rFont val="Arial"/>
        <family val="2"/>
      </rPr>
      <t>*</t>
    </r>
    <r>
      <rPr>
        <i/>
        <sz val="12"/>
        <color indexed="8"/>
        <rFont val="Arial"/>
        <family val="2"/>
      </rPr>
      <t>η</t>
    </r>
    <r>
      <rPr>
        <vertAlign val="subscript"/>
        <sz val="12"/>
        <color indexed="8"/>
        <rFont val="Arial"/>
        <family val="2"/>
      </rPr>
      <t>μOHO,Ax</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K</t>
    </r>
    <r>
      <rPr>
        <vertAlign val="subscript"/>
        <sz val="12"/>
        <color indexed="8"/>
        <rFont val="Arial"/>
        <family val="2"/>
      </rPr>
      <t>Ac,OHO</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</si>
  <si>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Decay ofX</t>
    </r>
    <r>
      <rPr>
        <b/>
        <vertAlign val="subscript"/>
        <sz val="10"/>
        <color indexed="8"/>
        <rFont val="Arial"/>
        <family val="2"/>
      </rPr>
      <t>OHO</t>
    </r>
  </si>
  <si>
    <r>
      <t>i</t>
    </r>
    <r>
      <rPr>
        <vertAlign val="subscript"/>
        <sz val="12"/>
        <color indexed="8"/>
        <rFont val="Arial"/>
        <family val="2"/>
      </rPr>
      <t>P_OHO</t>
    </r>
    <r>
      <rPr>
        <sz val="12"/>
        <color indexed="8"/>
        <rFont val="Arial"/>
        <family val="2"/>
      </rPr>
      <t>-</t>
    </r>
    <r>
      <rPr>
        <i/>
        <sz val="12"/>
        <color indexed="8"/>
        <rFont val="Arial"/>
        <family val="2"/>
      </rPr>
      <t>f</t>
    </r>
    <r>
      <rPr>
        <vertAlign val="subscript"/>
        <sz val="12"/>
        <color indexed="8"/>
        <rFont val="Arial"/>
        <family val="2"/>
      </rPr>
      <t>XU_OHO,lys</t>
    </r>
    <r>
      <rPr>
        <sz val="12"/>
        <color indexed="8"/>
        <rFont val="Arial"/>
        <family val="2"/>
      </rPr>
      <t>*</t>
    </r>
    <r>
      <rPr>
        <i/>
        <sz val="12"/>
        <color indexed="8"/>
        <rFont val="Arial"/>
        <family val="2"/>
      </rPr>
      <t>i</t>
    </r>
    <r>
      <rPr>
        <vertAlign val="subscript"/>
        <sz val="12"/>
        <color indexed="8"/>
        <rFont val="Arial"/>
        <family val="2"/>
      </rPr>
      <t>P_XUE,OHO</t>
    </r>
  </si>
  <si>
    <r>
      <t>i</t>
    </r>
    <r>
      <rPr>
        <vertAlign val="subscript"/>
        <sz val="12"/>
        <color indexed="8"/>
        <rFont val="Arial"/>
        <family val="2"/>
      </rPr>
      <t>N_OHO</t>
    </r>
    <r>
      <rPr>
        <sz val="12"/>
        <color indexed="8"/>
        <rFont val="Arial"/>
        <family val="2"/>
      </rPr>
      <t>-</t>
    </r>
    <r>
      <rPr>
        <i/>
        <sz val="12"/>
        <color indexed="8"/>
        <rFont val="Arial"/>
        <family val="2"/>
      </rPr>
      <t>f</t>
    </r>
    <r>
      <rPr>
        <vertAlign val="subscript"/>
        <sz val="12"/>
        <color indexed="8"/>
        <rFont val="Arial"/>
        <family val="2"/>
      </rPr>
      <t>XU_OHO,lys</t>
    </r>
    <r>
      <rPr>
        <sz val="12"/>
        <color indexed="8"/>
        <rFont val="Arial"/>
        <family val="2"/>
      </rPr>
      <t>*</t>
    </r>
    <r>
      <rPr>
        <i/>
        <sz val="12"/>
        <color indexed="8"/>
        <rFont val="Arial"/>
        <family val="2"/>
      </rPr>
      <t>i</t>
    </r>
    <r>
      <rPr>
        <vertAlign val="subscript"/>
        <sz val="12"/>
        <color indexed="8"/>
        <rFont val="Arial"/>
        <family val="2"/>
      </rPr>
      <t>N_XUE,OHO</t>
    </r>
  </si>
  <si>
    <r>
      <t>Aerobic hydrolysis of XC</t>
    </r>
    <r>
      <rPr>
        <b/>
        <vertAlign val="subscript"/>
        <sz val="10"/>
        <color indexed="8"/>
        <rFont val="Arial"/>
        <family val="2"/>
      </rPr>
      <t>B</t>
    </r>
  </si>
  <si>
    <r>
      <t>q</t>
    </r>
    <r>
      <rPr>
        <vertAlign val="subscript"/>
        <sz val="12"/>
        <color indexed="8"/>
        <rFont val="Arial"/>
        <family val="2"/>
      </rPr>
      <t>XCB_SB,hyd</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K</t>
    </r>
    <r>
      <rPr>
        <vertAlign val="subscript"/>
        <sz val="12"/>
        <color indexed="8"/>
        <rFont val="Arial"/>
        <family val="2"/>
      </rPr>
      <t>XCB,hyd</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X</t>
    </r>
    <r>
      <rPr>
        <vertAlign val="subscript"/>
        <sz val="12"/>
        <color indexed="8"/>
        <rFont val="Arial"/>
        <family val="2"/>
      </rPr>
      <t>OHO</t>
    </r>
  </si>
  <si>
    <r>
      <t>Conversion factor for H</t>
    </r>
    <r>
      <rPr>
        <vertAlign val="subscript"/>
        <sz val="10"/>
        <color indexed="8"/>
        <rFont val="Arial"/>
        <family val="2"/>
      </rPr>
      <t>2</t>
    </r>
    <r>
      <rPr>
        <sz val="10"/>
        <color indexed="8"/>
        <rFont val="Arial"/>
        <family val="2"/>
      </rPr>
      <t xml:space="preserve"> in COD</t>
    </r>
  </si>
  <si>
    <r>
      <t>Anoxic hydrolysis of XC</t>
    </r>
    <r>
      <rPr>
        <b/>
        <vertAlign val="subscript"/>
        <sz val="10"/>
        <color indexed="8"/>
        <rFont val="Arial"/>
        <family val="2"/>
      </rPr>
      <t>B</t>
    </r>
  </si>
  <si>
    <r>
      <t>(1-</t>
    </r>
    <r>
      <rPr>
        <i/>
        <sz val="12"/>
        <color indexed="10"/>
        <rFont val="Arial"/>
        <family val="2"/>
      </rPr>
      <t>Y</t>
    </r>
    <r>
      <rPr>
        <vertAlign val="subscript"/>
        <sz val="12"/>
        <color indexed="10"/>
        <rFont val="Arial"/>
        <family val="2"/>
      </rPr>
      <t>hyd,Ax</t>
    </r>
    <r>
      <rPr>
        <sz val="12"/>
        <color indexed="10"/>
        <rFont val="Arial"/>
        <family val="2"/>
      </rPr>
      <t>)/</t>
    </r>
    <r>
      <rPr>
        <i/>
        <sz val="12"/>
        <color indexed="10"/>
        <rFont val="Arial"/>
        <family val="2"/>
      </rPr>
      <t>i</t>
    </r>
    <r>
      <rPr>
        <vertAlign val="subscript"/>
        <sz val="12"/>
        <color indexed="10"/>
        <rFont val="Arial"/>
        <family val="2"/>
      </rPr>
      <t>COD_H2</t>
    </r>
  </si>
  <si>
    <r>
      <t>q</t>
    </r>
    <r>
      <rPr>
        <vertAlign val="subscript"/>
        <sz val="12"/>
        <color indexed="8"/>
        <rFont val="Arial"/>
        <family val="2"/>
      </rPr>
      <t>XCB_SB,hyd</t>
    </r>
    <r>
      <rPr>
        <sz val="12"/>
        <color indexed="8"/>
        <rFont val="Arial"/>
        <family val="2"/>
      </rPr>
      <t>*</t>
    </r>
    <r>
      <rPr>
        <i/>
        <sz val="12"/>
        <color indexed="8"/>
        <rFont val="Arial"/>
        <family val="2"/>
      </rPr>
      <t>n</t>
    </r>
    <r>
      <rPr>
        <vertAlign val="subscript"/>
        <sz val="12"/>
        <color indexed="8"/>
        <rFont val="Arial"/>
        <family val="2"/>
      </rPr>
      <t>qhyd,Ax</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K</t>
    </r>
    <r>
      <rPr>
        <vertAlign val="subscript"/>
        <sz val="12"/>
        <color indexed="8"/>
        <rFont val="Arial"/>
        <family val="2"/>
      </rPr>
      <t>XCB,hyd</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X</t>
    </r>
    <r>
      <rPr>
        <vertAlign val="subscript"/>
        <sz val="12"/>
        <color indexed="8"/>
        <rFont val="Arial"/>
        <family val="2"/>
      </rPr>
      <t>OHO</t>
    </r>
  </si>
  <si>
    <r>
      <t>Anaerobic hydrolysis of XC</t>
    </r>
    <r>
      <rPr>
        <b/>
        <vertAlign val="subscript"/>
        <sz val="10"/>
        <color indexed="8"/>
        <rFont val="Arial"/>
        <family val="2"/>
      </rPr>
      <t>B</t>
    </r>
  </si>
  <si>
    <r>
      <t>(1-</t>
    </r>
    <r>
      <rPr>
        <i/>
        <sz val="12"/>
        <color indexed="10"/>
        <rFont val="Arial"/>
        <family val="2"/>
      </rPr>
      <t>Y</t>
    </r>
    <r>
      <rPr>
        <vertAlign val="subscript"/>
        <sz val="12"/>
        <color indexed="10"/>
        <rFont val="Arial"/>
        <family val="2"/>
      </rPr>
      <t>hyd,An</t>
    </r>
    <r>
      <rPr>
        <sz val="12"/>
        <color indexed="10"/>
        <rFont val="Arial"/>
        <family val="2"/>
      </rPr>
      <t>)/</t>
    </r>
    <r>
      <rPr>
        <i/>
        <sz val="12"/>
        <color indexed="10"/>
        <rFont val="Arial"/>
        <family val="2"/>
      </rPr>
      <t>i</t>
    </r>
    <r>
      <rPr>
        <vertAlign val="subscript"/>
        <sz val="12"/>
        <color indexed="10"/>
        <rFont val="Arial"/>
        <family val="2"/>
      </rPr>
      <t>COD_H2</t>
    </r>
  </si>
  <si>
    <r>
      <t>q</t>
    </r>
    <r>
      <rPr>
        <vertAlign val="subscript"/>
        <sz val="12"/>
        <color indexed="8"/>
        <rFont val="Arial"/>
        <family val="2"/>
      </rPr>
      <t>XCB_SB,hyd</t>
    </r>
    <r>
      <rPr>
        <sz val="12"/>
        <color indexed="8"/>
        <rFont val="Arial"/>
        <family val="2"/>
      </rPr>
      <t>*</t>
    </r>
    <r>
      <rPr>
        <i/>
        <sz val="12"/>
        <color indexed="8"/>
        <rFont val="Arial"/>
        <family val="2"/>
      </rPr>
      <t>n</t>
    </r>
    <r>
      <rPr>
        <vertAlign val="subscript"/>
        <sz val="12"/>
        <color indexed="8"/>
        <rFont val="Arial"/>
        <family val="2"/>
      </rPr>
      <t>qhyd,An</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K</t>
    </r>
    <r>
      <rPr>
        <vertAlign val="subscript"/>
        <sz val="12"/>
        <color indexed="8"/>
        <rFont val="Arial"/>
        <family val="2"/>
      </rPr>
      <t>XCB,hyd</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X</t>
    </r>
    <r>
      <rPr>
        <vertAlign val="subscript"/>
        <sz val="12"/>
        <color indexed="8"/>
        <rFont val="Arial"/>
        <family val="2"/>
      </rPr>
      <t>OHO</t>
    </r>
  </si>
  <si>
    <r>
      <t>(</t>
    </r>
    <r>
      <rPr>
        <i/>
        <sz val="12"/>
        <color indexed="8"/>
        <rFont val="Arial"/>
        <family val="2"/>
      </rPr>
      <t>r</t>
    </r>
    <r>
      <rPr>
        <vertAlign val="subscript"/>
        <sz val="12"/>
        <color indexed="8"/>
        <rFont val="Arial"/>
        <family val="2"/>
      </rPr>
      <t>10</t>
    </r>
    <r>
      <rPr>
        <sz val="10"/>
        <color indexed="8"/>
        <rFont val="Arial"/>
        <family val="2"/>
      </rPr>
      <t>+</t>
    </r>
    <r>
      <rPr>
        <i/>
        <sz val="12"/>
        <color indexed="8"/>
        <rFont val="Arial"/>
        <family val="2"/>
      </rPr>
      <t>r</t>
    </r>
    <r>
      <rPr>
        <vertAlign val="subscript"/>
        <sz val="12"/>
        <color indexed="8"/>
        <rFont val="Arial"/>
        <family val="2"/>
      </rPr>
      <t>11</t>
    </r>
    <r>
      <rPr>
        <sz val="10"/>
        <color indexed="8"/>
        <rFont val="Arial"/>
        <family val="2"/>
      </rPr>
      <t>+</t>
    </r>
    <r>
      <rPr>
        <i/>
        <sz val="12"/>
        <color indexed="8"/>
        <rFont val="Arial"/>
        <family val="2"/>
      </rPr>
      <t>r</t>
    </r>
    <r>
      <rPr>
        <vertAlign val="subscript"/>
        <sz val="12"/>
        <color indexed="8"/>
        <rFont val="Arial"/>
        <family val="2"/>
      </rPr>
      <t>12</t>
    </r>
    <r>
      <rPr>
        <sz val="10"/>
        <color indexed="8"/>
        <rFont val="Arial"/>
        <family val="2"/>
      </rPr>
      <t>)*</t>
    </r>
    <r>
      <rPr>
        <i/>
        <sz val="12"/>
        <color indexed="8"/>
        <rFont val="Arial"/>
        <family val="2"/>
      </rPr>
      <t>XC</t>
    </r>
    <r>
      <rPr>
        <vertAlign val="subscript"/>
        <sz val="12"/>
        <color indexed="8"/>
        <rFont val="Arial"/>
        <family val="2"/>
      </rPr>
      <t>B,N</t>
    </r>
    <r>
      <rPr>
        <sz val="10"/>
        <color indexed="8"/>
        <rFont val="Arial"/>
        <family val="2"/>
      </rPr>
      <t>/</t>
    </r>
    <r>
      <rPr>
        <i/>
        <sz val="12"/>
        <color indexed="8"/>
        <rFont val="Arial"/>
        <family val="2"/>
      </rPr>
      <t>XC</t>
    </r>
    <r>
      <rPr>
        <vertAlign val="subscript"/>
        <sz val="12"/>
        <color indexed="8"/>
        <rFont val="Arial"/>
        <family val="2"/>
      </rPr>
      <t>B</t>
    </r>
  </si>
  <si>
    <r>
      <t>q</t>
    </r>
    <r>
      <rPr>
        <vertAlign val="subscript"/>
        <sz val="12"/>
        <color indexed="8"/>
        <rFont val="Arial"/>
        <family val="2"/>
      </rPr>
      <t>am</t>
    </r>
    <r>
      <rPr>
        <sz val="12"/>
        <color indexed="8"/>
        <rFont val="Arial"/>
        <family val="2"/>
      </rPr>
      <t>*</t>
    </r>
    <r>
      <rPr>
        <i/>
        <sz val="12"/>
        <color indexed="8"/>
        <rFont val="Arial"/>
        <family val="2"/>
      </rPr>
      <t>S</t>
    </r>
    <r>
      <rPr>
        <vertAlign val="subscript"/>
        <sz val="12"/>
        <color indexed="8"/>
        <rFont val="Arial"/>
        <family val="2"/>
      </rPr>
      <t>B,N</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</si>
  <si>
    <r>
      <t>Fermentation of S</t>
    </r>
    <r>
      <rPr>
        <b/>
        <vertAlign val="subscript"/>
        <sz val="10"/>
        <color indexed="8"/>
        <rFont val="Arial"/>
        <family val="2"/>
      </rPr>
      <t>F</t>
    </r>
    <r>
      <rPr>
        <b/>
        <sz val="10"/>
        <color indexed="8"/>
        <rFont val="Arial"/>
        <family val="2"/>
      </rPr>
      <t xml:space="preserve"> to S</t>
    </r>
    <r>
      <rPr>
        <b/>
        <vertAlign val="subscript"/>
        <sz val="10"/>
        <color indexed="8"/>
        <rFont val="Arial"/>
        <family val="2"/>
      </rPr>
      <t>Ac</t>
    </r>
  </si>
  <si>
    <r>
      <t>(1-</t>
    </r>
    <r>
      <rPr>
        <i/>
        <sz val="12"/>
        <color indexed="8"/>
        <rFont val="Arial"/>
        <family val="2"/>
      </rPr>
      <t>Y</t>
    </r>
    <r>
      <rPr>
        <vertAlign val="subscript"/>
        <sz val="12"/>
        <color indexed="8"/>
        <rFont val="Arial"/>
        <family val="2"/>
      </rPr>
      <t>OHO,An</t>
    </r>
    <r>
      <rPr>
        <sz val="12"/>
        <color indexed="8"/>
        <rFont val="Arial"/>
        <family val="2"/>
      </rPr>
      <t>)*</t>
    </r>
    <r>
      <rPr>
        <i/>
        <sz val="12"/>
        <color indexed="8"/>
        <rFont val="Arial"/>
        <family val="2"/>
      </rPr>
      <t>Y</t>
    </r>
    <r>
      <rPr>
        <vertAlign val="subscript"/>
        <sz val="12"/>
        <color indexed="8"/>
        <rFont val="Arial"/>
        <family val="2"/>
      </rPr>
      <t>fe</t>
    </r>
  </si>
  <si>
    <r>
      <t>-</t>
    </r>
    <r>
      <rPr>
        <i/>
        <sz val="12"/>
        <color indexed="8"/>
        <rFont val="Arial"/>
        <family val="2"/>
      </rPr>
      <t>i</t>
    </r>
    <r>
      <rPr>
        <vertAlign val="subscript"/>
        <sz val="12"/>
        <color indexed="8"/>
        <rFont val="Arial"/>
        <family val="2"/>
      </rPr>
      <t>P_OHO</t>
    </r>
    <r>
      <rPr>
        <sz val="12"/>
        <color indexed="8"/>
        <rFont val="Arial"/>
        <family val="2"/>
      </rPr>
      <t>*</t>
    </r>
    <r>
      <rPr>
        <i/>
        <sz val="12"/>
        <color indexed="8"/>
        <rFont val="Arial"/>
        <family val="2"/>
      </rPr>
      <t>Y</t>
    </r>
    <r>
      <rPr>
        <vertAlign val="subscript"/>
        <sz val="12"/>
        <color indexed="8"/>
        <rFont val="Arial"/>
        <family val="2"/>
      </rPr>
      <t>OHO,An</t>
    </r>
  </si>
  <si>
    <r>
      <t>-</t>
    </r>
    <r>
      <rPr>
        <i/>
        <sz val="12"/>
        <color indexed="8"/>
        <rFont val="Arial"/>
        <family val="2"/>
      </rPr>
      <t>i</t>
    </r>
    <r>
      <rPr>
        <vertAlign val="subscript"/>
        <sz val="12"/>
        <color indexed="8"/>
        <rFont val="Arial"/>
        <family val="2"/>
      </rPr>
      <t>N_OHO</t>
    </r>
    <r>
      <rPr>
        <sz val="12"/>
        <color indexed="8"/>
        <rFont val="Arial"/>
        <family val="2"/>
      </rPr>
      <t>*</t>
    </r>
    <r>
      <rPr>
        <i/>
        <sz val="12"/>
        <color indexed="8"/>
        <rFont val="Arial"/>
        <family val="2"/>
      </rPr>
      <t>Y</t>
    </r>
    <r>
      <rPr>
        <vertAlign val="subscript"/>
        <sz val="12"/>
        <color indexed="8"/>
        <rFont val="Arial"/>
        <family val="2"/>
      </rPr>
      <t>OHO,An</t>
    </r>
  </si>
  <si>
    <r>
      <t>(1-(1-</t>
    </r>
    <r>
      <rPr>
        <i/>
        <sz val="12"/>
        <color indexed="10"/>
        <rFont val="Arial"/>
        <family val="2"/>
      </rPr>
      <t>Y</t>
    </r>
    <r>
      <rPr>
        <vertAlign val="subscript"/>
        <sz val="12"/>
        <color indexed="10"/>
        <rFont val="Arial"/>
        <family val="2"/>
      </rPr>
      <t>OHO,An</t>
    </r>
    <r>
      <rPr>
        <sz val="12"/>
        <color indexed="10"/>
        <rFont val="Arial"/>
        <family val="2"/>
      </rPr>
      <t>)*</t>
    </r>
    <r>
      <rPr>
        <i/>
        <sz val="12"/>
        <color indexed="10"/>
        <rFont val="Arial"/>
        <family val="2"/>
      </rPr>
      <t>Y</t>
    </r>
    <r>
      <rPr>
        <vertAlign val="subscript"/>
        <sz val="12"/>
        <color indexed="10"/>
        <rFont val="Arial"/>
        <family val="2"/>
      </rPr>
      <t>fe</t>
    </r>
    <r>
      <rPr>
        <sz val="12"/>
        <color indexed="10"/>
        <rFont val="Arial"/>
        <family val="2"/>
      </rPr>
      <t>-</t>
    </r>
    <r>
      <rPr>
        <i/>
        <sz val="12"/>
        <color indexed="10"/>
        <rFont val="Arial"/>
        <family val="2"/>
      </rPr>
      <t>Y</t>
    </r>
    <r>
      <rPr>
        <vertAlign val="subscript"/>
        <sz val="12"/>
        <color indexed="10"/>
        <rFont val="Arial"/>
        <family val="2"/>
      </rPr>
      <t>OHO,An</t>
    </r>
    <r>
      <rPr>
        <sz val="12"/>
        <color indexed="10"/>
        <rFont val="Arial"/>
        <family val="2"/>
      </rPr>
      <t>)/</t>
    </r>
    <r>
      <rPr>
        <i/>
        <sz val="12"/>
        <color indexed="10"/>
        <rFont val="Arial"/>
        <family val="2"/>
      </rPr>
      <t>i</t>
    </r>
    <r>
      <rPr>
        <vertAlign val="subscript"/>
        <sz val="12"/>
        <color indexed="10"/>
        <rFont val="Arial"/>
        <family val="2"/>
      </rPr>
      <t>COD_H2</t>
    </r>
  </si>
  <si>
    <r>
      <t>q</t>
    </r>
    <r>
      <rPr>
        <vertAlign val="subscript"/>
        <sz val="12"/>
        <color indexed="8"/>
        <rFont val="Arial"/>
        <family val="2"/>
      </rPr>
      <t>SF_Ac,Max</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SF,fe</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NHx</t>
    </r>
    <r>
      <rPr>
        <sz val="12"/>
        <color indexed="10"/>
        <rFont val="Arial"/>
        <family val="2"/>
      </rPr>
      <t>/(</t>
    </r>
    <r>
      <rPr>
        <i/>
        <sz val="12"/>
        <color indexed="10"/>
        <rFont val="Arial"/>
        <family val="2"/>
      </rPr>
      <t>K</t>
    </r>
    <r>
      <rPr>
        <vertAlign val="subscript"/>
        <sz val="12"/>
        <color indexed="10"/>
        <rFont val="Arial"/>
        <family val="2"/>
      </rPr>
      <t>NHx,OHO</t>
    </r>
    <r>
      <rPr>
        <sz val="12"/>
        <color indexed="10"/>
        <rFont val="Arial"/>
        <family val="2"/>
      </rPr>
      <t>+</t>
    </r>
    <r>
      <rPr>
        <i/>
        <sz val="12"/>
        <color indexed="10"/>
        <rFont val="Arial"/>
        <family val="2"/>
      </rPr>
      <t>S</t>
    </r>
    <r>
      <rPr>
        <vertAlign val="subscript"/>
        <sz val="12"/>
        <color indexed="10"/>
        <rFont val="Arial"/>
        <family val="2"/>
      </rPr>
      <t>NHx</t>
    </r>
    <r>
      <rPr>
        <sz val="12"/>
        <color indexed="10"/>
        <rFont val="Arial"/>
        <family val="2"/>
      </rPr>
      <t>)]*[</t>
    </r>
    <r>
      <rPr>
        <i/>
        <sz val="12"/>
        <color indexed="10"/>
        <rFont val="Arial"/>
        <family val="2"/>
      </rPr>
      <t>S</t>
    </r>
    <r>
      <rPr>
        <vertAlign val="subscript"/>
        <sz val="12"/>
        <color indexed="10"/>
        <rFont val="Arial"/>
        <family val="2"/>
      </rPr>
      <t>PO4</t>
    </r>
    <r>
      <rPr>
        <sz val="12"/>
        <color indexed="10"/>
        <rFont val="Arial"/>
        <family val="2"/>
      </rPr>
      <t>/(</t>
    </r>
    <r>
      <rPr>
        <i/>
        <sz val="12"/>
        <color indexed="10"/>
        <rFont val="Arial"/>
        <family val="2"/>
      </rPr>
      <t>K</t>
    </r>
    <r>
      <rPr>
        <vertAlign val="subscript"/>
        <sz val="12"/>
        <color indexed="10"/>
        <rFont val="Arial"/>
        <family val="2"/>
      </rPr>
      <t>PO4,Bio,nut</t>
    </r>
    <r>
      <rPr>
        <sz val="12"/>
        <color indexed="10"/>
        <rFont val="Arial"/>
        <family val="2"/>
      </rPr>
      <t>+S</t>
    </r>
    <r>
      <rPr>
        <vertAlign val="subscript"/>
        <sz val="12"/>
        <color indexed="10"/>
        <rFont val="Arial"/>
        <family val="2"/>
      </rPr>
      <t>PO4</t>
    </r>
    <r>
      <rPr>
        <sz val="12"/>
        <color indexed="10"/>
        <rFont val="Arial"/>
        <family val="2"/>
      </rPr>
      <t>)]</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OHO</t>
    </r>
  </si>
  <si>
    <r>
      <t>Half saturation parameter for S</t>
    </r>
    <r>
      <rPr>
        <vertAlign val="subscript"/>
        <sz val="10"/>
        <rFont val="Arial"/>
        <family val="2"/>
      </rPr>
      <t>PO4</t>
    </r>
    <r>
      <rPr>
        <sz val="10"/>
        <rFont val="Arial"/>
        <family val="2"/>
      </rPr>
      <t xml:space="preserve"> as nutrient</t>
    </r>
  </si>
  <si>
    <r>
      <t>Growth of X</t>
    </r>
    <r>
      <rPr>
        <b/>
        <vertAlign val="subscript"/>
        <sz val="10"/>
        <color indexed="8"/>
        <rFont val="Arial"/>
        <family val="2"/>
      </rPr>
      <t>ANO</t>
    </r>
  </si>
  <si>
    <r>
      <t>-</t>
    </r>
    <r>
      <rPr>
        <i/>
        <sz val="12"/>
        <color indexed="8"/>
        <rFont val="Arial"/>
        <family val="2"/>
      </rPr>
      <t>i</t>
    </r>
    <r>
      <rPr>
        <vertAlign val="subscript"/>
        <sz val="12"/>
        <color indexed="8"/>
        <rFont val="Arial"/>
        <family val="2"/>
      </rPr>
      <t>P_ANO</t>
    </r>
  </si>
  <si>
    <r>
      <t>-</t>
    </r>
    <r>
      <rPr>
        <i/>
        <sz val="12"/>
        <color indexed="8"/>
        <rFont val="Arial"/>
        <family val="2"/>
      </rPr>
      <t>i</t>
    </r>
    <r>
      <rPr>
        <vertAlign val="subscript"/>
        <sz val="12"/>
        <color indexed="8"/>
        <rFont val="Arial"/>
        <family val="2"/>
      </rPr>
      <t>N_ANO</t>
    </r>
    <r>
      <rPr>
        <sz val="12"/>
        <color indexed="8"/>
        <rFont val="Arial"/>
        <family val="2"/>
      </rPr>
      <t>-1/</t>
    </r>
    <r>
      <rPr>
        <i/>
        <sz val="12"/>
        <color indexed="8"/>
        <rFont val="Arial"/>
        <family val="2"/>
      </rPr>
      <t>Y</t>
    </r>
    <r>
      <rPr>
        <vertAlign val="subscript"/>
        <sz val="12"/>
        <color indexed="8"/>
        <rFont val="Arial"/>
        <family val="2"/>
      </rPr>
      <t>ANO</t>
    </r>
  </si>
  <si>
    <r>
      <t>μ</t>
    </r>
    <r>
      <rPr>
        <vertAlign val="subscript"/>
        <sz val="12"/>
        <color indexed="8"/>
        <rFont val="Arial"/>
        <family val="2"/>
      </rPr>
      <t>ANO,Max</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O2,ANO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NHx,ANO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PO4</t>
    </r>
    <r>
      <rPr>
        <sz val="12"/>
        <color indexed="10"/>
        <rFont val="Arial"/>
        <family val="2"/>
      </rPr>
      <t>/(</t>
    </r>
    <r>
      <rPr>
        <i/>
        <sz val="12"/>
        <color indexed="10"/>
        <rFont val="Arial"/>
        <family val="2"/>
      </rPr>
      <t>K</t>
    </r>
    <r>
      <rPr>
        <vertAlign val="subscript"/>
        <sz val="12"/>
        <color indexed="10"/>
        <rFont val="Arial"/>
        <family val="2"/>
      </rPr>
      <t>PO4,Bio,nut</t>
    </r>
    <r>
      <rPr>
        <sz val="12"/>
        <color indexed="10"/>
        <rFont val="Arial"/>
        <family val="2"/>
      </rPr>
      <t>+</t>
    </r>
    <r>
      <rPr>
        <i/>
        <sz val="12"/>
        <color indexed="10"/>
        <rFont val="Arial"/>
        <family val="2"/>
      </rPr>
      <t>S</t>
    </r>
    <r>
      <rPr>
        <vertAlign val="subscript"/>
        <sz val="12"/>
        <color indexed="10"/>
        <rFont val="Arial"/>
        <family val="2"/>
      </rPr>
      <t>PO4</t>
    </r>
    <r>
      <rPr>
        <sz val="12"/>
        <color indexed="10"/>
        <rFont val="Arial"/>
        <family val="2"/>
      </rPr>
      <t>)]</t>
    </r>
    <r>
      <rPr>
        <sz val="12"/>
        <color indexed="8"/>
        <rFont val="Arial"/>
        <family val="2"/>
      </rPr>
      <t>*</t>
    </r>
    <r>
      <rPr>
        <i/>
        <sz val="12"/>
        <color indexed="8"/>
        <rFont val="Arial"/>
        <family val="2"/>
      </rPr>
      <t>X</t>
    </r>
    <r>
      <rPr>
        <vertAlign val="subscript"/>
        <sz val="12"/>
        <color indexed="8"/>
        <rFont val="Arial"/>
        <family val="2"/>
      </rPr>
      <t>ANO</t>
    </r>
  </si>
  <si>
    <r>
      <t>Decay of X</t>
    </r>
    <r>
      <rPr>
        <b/>
        <vertAlign val="subscript"/>
        <sz val="10"/>
        <color indexed="8"/>
        <rFont val="Arial"/>
        <family val="2"/>
      </rPr>
      <t>ANO</t>
    </r>
  </si>
  <si>
    <r>
      <t>i</t>
    </r>
    <r>
      <rPr>
        <vertAlign val="subscript"/>
        <sz val="12"/>
        <color indexed="8"/>
        <rFont val="Arial"/>
        <family val="2"/>
      </rPr>
      <t>P_ANO</t>
    </r>
    <r>
      <rPr>
        <sz val="12"/>
        <color indexed="8"/>
        <rFont val="Arial"/>
        <family val="2"/>
      </rPr>
      <t>-</t>
    </r>
    <r>
      <rPr>
        <i/>
        <sz val="12"/>
        <color indexed="8"/>
        <rFont val="Arial"/>
        <family val="2"/>
      </rPr>
      <t>f</t>
    </r>
    <r>
      <rPr>
        <vertAlign val="subscript"/>
        <sz val="12"/>
        <color indexed="8"/>
        <rFont val="Arial"/>
        <family val="2"/>
      </rPr>
      <t>XU_ANO,lys</t>
    </r>
    <r>
      <rPr>
        <sz val="12"/>
        <color indexed="8"/>
        <rFont val="Arial"/>
        <family val="2"/>
      </rPr>
      <t>*</t>
    </r>
    <r>
      <rPr>
        <i/>
        <sz val="12"/>
        <color indexed="8"/>
        <rFont val="Arial"/>
        <family val="2"/>
      </rPr>
      <t>i</t>
    </r>
    <r>
      <rPr>
        <vertAlign val="subscript"/>
        <sz val="12"/>
        <color indexed="8"/>
        <rFont val="Arial"/>
        <family val="2"/>
      </rPr>
      <t>P_XUE,ANO</t>
    </r>
  </si>
  <si>
    <r>
      <t>i</t>
    </r>
    <r>
      <rPr>
        <vertAlign val="subscript"/>
        <sz val="12"/>
        <color indexed="8"/>
        <rFont val="Arial"/>
        <family val="2"/>
      </rPr>
      <t>N_ANO</t>
    </r>
    <r>
      <rPr>
        <sz val="12"/>
        <color indexed="8"/>
        <rFont val="Arial"/>
        <family val="2"/>
      </rPr>
      <t>-</t>
    </r>
    <r>
      <rPr>
        <i/>
        <sz val="12"/>
        <color indexed="8"/>
        <rFont val="Arial"/>
        <family val="2"/>
      </rPr>
      <t>f</t>
    </r>
    <r>
      <rPr>
        <vertAlign val="subscript"/>
        <sz val="12"/>
        <color indexed="8"/>
        <rFont val="Arial"/>
        <family val="2"/>
      </rPr>
      <t>XU_ANO,lys</t>
    </r>
    <r>
      <rPr>
        <sz val="12"/>
        <color indexed="8"/>
        <rFont val="Arial"/>
        <family val="2"/>
      </rPr>
      <t>*</t>
    </r>
    <r>
      <rPr>
        <i/>
        <sz val="12"/>
        <color indexed="8"/>
        <rFont val="Arial"/>
        <family val="2"/>
      </rPr>
      <t>i</t>
    </r>
    <r>
      <rPr>
        <vertAlign val="subscript"/>
        <sz val="12"/>
        <color indexed="8"/>
        <rFont val="Arial"/>
        <family val="2"/>
      </rPr>
      <t>N_XUE,ANO</t>
    </r>
  </si>
  <si>
    <r>
      <t>Aerobic growth of X</t>
    </r>
    <r>
      <rPr>
        <b/>
        <vertAlign val="subscript"/>
        <sz val="10"/>
        <color indexed="8"/>
        <rFont val="Arial"/>
        <family val="2"/>
      </rPr>
      <t>PAO</t>
    </r>
    <r>
      <rPr>
        <b/>
        <sz val="10"/>
        <color indexed="8"/>
        <rFont val="Arial"/>
        <family val="2"/>
      </rPr>
      <t xml:space="preserve"> on S</t>
    </r>
    <r>
      <rPr>
        <b/>
        <vertAlign val="subscript"/>
        <sz val="10"/>
        <color indexed="8"/>
        <rFont val="Arial"/>
        <family val="2"/>
      </rPr>
      <t>F</t>
    </r>
    <r>
      <rPr>
        <b/>
        <sz val="10"/>
        <color indexed="8"/>
        <rFont val="Arial"/>
        <family val="2"/>
      </rPr>
      <t xml:space="preserve"> with S</t>
    </r>
    <r>
      <rPr>
        <b/>
        <vertAlign val="subscript"/>
        <sz val="10"/>
        <color indexed="8"/>
        <rFont val="Arial"/>
        <family val="2"/>
      </rPr>
      <t>NHx</t>
    </r>
  </si>
  <si>
    <r>
      <t>-1/</t>
    </r>
    <r>
      <rPr>
        <i/>
        <sz val="12"/>
        <color indexed="8"/>
        <rFont val="Arial"/>
        <family val="2"/>
      </rPr>
      <t>Y</t>
    </r>
    <r>
      <rPr>
        <vertAlign val="subscript"/>
        <sz val="12"/>
        <color indexed="8"/>
        <rFont val="Arial"/>
        <family val="2"/>
      </rPr>
      <t>PAO</t>
    </r>
  </si>
  <si>
    <r>
      <t>f</t>
    </r>
    <r>
      <rPr>
        <vertAlign val="subscript"/>
        <sz val="12"/>
        <color indexed="8"/>
        <rFont val="Arial"/>
        <family val="2"/>
      </rPr>
      <t>PP,Lo_PP</t>
    </r>
    <r>
      <rPr>
        <sz val="12"/>
        <color indexed="8"/>
        <rFont val="Arial"/>
        <family val="2"/>
      </rPr>
      <t>*</t>
    </r>
    <r>
      <rPr>
        <i/>
        <sz val="12"/>
        <color indexed="8"/>
        <rFont val="Arial"/>
        <family val="2"/>
      </rPr>
      <t>Y</t>
    </r>
    <r>
      <rPr>
        <vertAlign val="subscript"/>
        <sz val="12"/>
        <color indexed="8"/>
        <rFont val="Arial"/>
        <family val="2"/>
      </rPr>
      <t>PHA_PP,Ox</t>
    </r>
    <r>
      <rPr>
        <sz val="12"/>
        <color indexed="8"/>
        <rFont val="Arial"/>
        <family val="2"/>
      </rPr>
      <t>/</t>
    </r>
    <r>
      <rPr>
        <i/>
        <sz val="12"/>
        <color indexed="8"/>
        <rFont val="Arial"/>
        <family val="2"/>
      </rPr>
      <t>Y</t>
    </r>
    <r>
      <rPr>
        <vertAlign val="subscript"/>
        <sz val="12"/>
        <color indexed="8"/>
        <rFont val="Arial"/>
        <family val="2"/>
      </rPr>
      <t>PAO</t>
    </r>
  </si>
  <si>
    <r>
      <t>(1-</t>
    </r>
    <r>
      <rPr>
        <i/>
        <sz val="12"/>
        <color indexed="8"/>
        <rFont val="Arial"/>
        <family val="2"/>
      </rPr>
      <t>f</t>
    </r>
    <r>
      <rPr>
        <vertAlign val="subscript"/>
        <sz val="12"/>
        <color indexed="8"/>
        <rFont val="Arial"/>
        <family val="2"/>
      </rPr>
      <t>PP,Lo_PP</t>
    </r>
    <r>
      <rPr>
        <sz val="12"/>
        <color indexed="8"/>
        <rFont val="Arial"/>
        <family val="2"/>
      </rPr>
      <t>)*</t>
    </r>
    <r>
      <rPr>
        <i/>
        <sz val="12"/>
        <color indexed="8"/>
        <rFont val="Arial"/>
        <family val="2"/>
      </rPr>
      <t>Y</t>
    </r>
    <r>
      <rPr>
        <vertAlign val="subscript"/>
        <sz val="12"/>
        <color indexed="8"/>
        <rFont val="Arial"/>
        <family val="2"/>
      </rPr>
      <t>PHA_PP,Ox</t>
    </r>
    <r>
      <rPr>
        <sz val="12"/>
        <color indexed="8"/>
        <rFont val="Arial"/>
        <family val="2"/>
      </rPr>
      <t>/</t>
    </r>
    <r>
      <rPr>
        <i/>
        <sz val="12"/>
        <color indexed="8"/>
        <rFont val="Arial"/>
        <family val="2"/>
      </rPr>
      <t>Y</t>
    </r>
    <r>
      <rPr>
        <vertAlign val="subscript"/>
        <sz val="12"/>
        <color indexed="8"/>
        <rFont val="Arial"/>
        <family val="2"/>
      </rPr>
      <t>PAO</t>
    </r>
  </si>
  <si>
    <r>
      <t>-</t>
    </r>
    <r>
      <rPr>
        <i/>
        <sz val="12"/>
        <color indexed="8"/>
        <rFont val="Arial"/>
        <family val="2"/>
      </rPr>
      <t>Y</t>
    </r>
    <r>
      <rPr>
        <vertAlign val="subscript"/>
        <sz val="12"/>
        <color indexed="8"/>
        <rFont val="Arial"/>
        <family val="2"/>
      </rPr>
      <t>PHA_PP,Ox</t>
    </r>
    <r>
      <rPr>
        <sz val="12"/>
        <color indexed="8"/>
        <rFont val="Arial"/>
        <family val="2"/>
      </rPr>
      <t>/</t>
    </r>
    <r>
      <rPr>
        <i/>
        <sz val="12"/>
        <color indexed="8"/>
        <rFont val="Arial"/>
        <family val="2"/>
      </rPr>
      <t>Y</t>
    </r>
    <r>
      <rPr>
        <vertAlign val="subscript"/>
        <sz val="12"/>
        <color indexed="8"/>
        <rFont val="Arial"/>
        <family val="2"/>
      </rPr>
      <t>PAO</t>
    </r>
    <r>
      <rPr>
        <sz val="12"/>
        <color indexed="8"/>
        <rFont val="Arial"/>
        <family val="2"/>
      </rPr>
      <t>-</t>
    </r>
    <r>
      <rPr>
        <i/>
        <sz val="12"/>
        <color indexed="8"/>
        <rFont val="Arial"/>
        <family val="2"/>
      </rPr>
      <t>i</t>
    </r>
    <r>
      <rPr>
        <vertAlign val="subscript"/>
        <sz val="12"/>
        <color indexed="8"/>
        <rFont val="Arial"/>
        <family val="2"/>
      </rPr>
      <t>P_PAO</t>
    </r>
  </si>
  <si>
    <r>
      <t>-</t>
    </r>
    <r>
      <rPr>
        <i/>
        <sz val="12"/>
        <color indexed="8"/>
        <rFont val="Arial"/>
        <family val="2"/>
      </rPr>
      <t>i</t>
    </r>
    <r>
      <rPr>
        <vertAlign val="subscript"/>
        <sz val="12"/>
        <color indexed="8"/>
        <rFont val="Arial"/>
        <family val="2"/>
      </rPr>
      <t>N_PAO</t>
    </r>
  </si>
  <si>
    <r>
      <t>-(1-</t>
    </r>
    <r>
      <rPr>
        <i/>
        <sz val="12"/>
        <color indexed="8"/>
        <rFont val="Arial"/>
        <family val="2"/>
      </rPr>
      <t>Y</t>
    </r>
    <r>
      <rPr>
        <vertAlign val="subscript"/>
        <sz val="12"/>
        <color indexed="8"/>
        <rFont val="Arial"/>
        <family val="2"/>
      </rPr>
      <t>PAO</t>
    </r>
    <r>
      <rPr>
        <sz val="12"/>
        <color indexed="8"/>
        <rFont val="Arial"/>
        <family val="2"/>
      </rPr>
      <t>)/</t>
    </r>
    <r>
      <rPr>
        <i/>
        <sz val="12"/>
        <color indexed="8"/>
        <rFont val="Arial"/>
        <family val="2"/>
      </rPr>
      <t>Y</t>
    </r>
    <r>
      <rPr>
        <vertAlign val="subscript"/>
        <sz val="12"/>
        <color indexed="8"/>
        <rFont val="Arial"/>
        <family val="2"/>
      </rPr>
      <t>PAO</t>
    </r>
  </si>
  <si>
    <r>
      <t>μ</t>
    </r>
    <r>
      <rPr>
        <vertAlign val="subscript"/>
        <sz val="12"/>
        <color indexed="8"/>
        <rFont val="Arial"/>
        <family val="2"/>
      </rPr>
      <t>PAO,Max</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S,PAO,Max</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PO4,PAO,upt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PAO</t>
    </r>
  </si>
  <si>
    <r>
      <t>Aerobic growth of X</t>
    </r>
    <r>
      <rPr>
        <b/>
        <vertAlign val="subscript"/>
        <sz val="10"/>
        <color indexed="8"/>
        <rFont val="Arial"/>
        <family val="2"/>
      </rPr>
      <t>PAO</t>
    </r>
    <r>
      <rPr>
        <b/>
        <sz val="10"/>
        <color indexed="8"/>
        <rFont val="Arial"/>
        <family val="2"/>
      </rPr>
      <t xml:space="preserve"> on S</t>
    </r>
    <r>
      <rPr>
        <b/>
        <vertAlign val="subscript"/>
        <sz val="10"/>
        <color indexed="8"/>
        <rFont val="Arial"/>
        <family val="2"/>
      </rPr>
      <t>F</t>
    </r>
    <r>
      <rPr>
        <b/>
        <sz val="10"/>
        <color indexed="8"/>
        <rFont val="Arial"/>
        <family val="2"/>
      </rPr>
      <t xml:space="preserve"> with S</t>
    </r>
    <r>
      <rPr>
        <b/>
        <vertAlign val="subscript"/>
        <sz val="10"/>
        <color indexed="8"/>
        <rFont val="Arial"/>
        <family val="2"/>
      </rPr>
      <t>NOx</t>
    </r>
  </si>
  <si>
    <r>
      <t>-(1-</t>
    </r>
    <r>
      <rPr>
        <i/>
        <sz val="12"/>
        <color indexed="8"/>
        <rFont val="Arial"/>
        <family val="2"/>
      </rPr>
      <t>Y</t>
    </r>
    <r>
      <rPr>
        <vertAlign val="subscript"/>
        <sz val="12"/>
        <color indexed="8"/>
        <rFont val="Arial"/>
        <family val="2"/>
      </rPr>
      <t>PAO</t>
    </r>
    <r>
      <rPr>
        <sz val="12"/>
        <color indexed="8"/>
        <rFont val="Arial"/>
        <family val="2"/>
      </rPr>
      <t>)/</t>
    </r>
    <r>
      <rPr>
        <i/>
        <sz val="12"/>
        <color indexed="8"/>
        <rFont val="Arial"/>
        <family val="2"/>
      </rPr>
      <t>Y</t>
    </r>
    <r>
      <rPr>
        <vertAlign val="subscript"/>
        <sz val="12"/>
        <color indexed="8"/>
        <rFont val="Arial"/>
        <family val="2"/>
      </rPr>
      <t>PAO</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i</t>
    </r>
    <r>
      <rPr>
        <vertAlign val="subscript"/>
        <sz val="12"/>
        <color indexed="10"/>
        <rFont val="Arial"/>
        <family val="2"/>
      </rPr>
      <t>N_PAO</t>
    </r>
  </si>
  <si>
    <r>
      <t>μ</t>
    </r>
    <r>
      <rPr>
        <vertAlign val="subscript"/>
        <sz val="12"/>
        <color indexed="8"/>
        <rFont val="Arial"/>
        <family val="2"/>
      </rPr>
      <t>PAO,Max</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S,PAO,Max</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PO4,PAO,upt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PAO</t>
    </r>
  </si>
  <si>
    <r>
      <t>Aerobic growth of X</t>
    </r>
    <r>
      <rPr>
        <b/>
        <vertAlign val="subscript"/>
        <sz val="10"/>
        <color indexed="8"/>
        <rFont val="Arial"/>
        <family val="2"/>
      </rPr>
      <t>PAO</t>
    </r>
    <r>
      <rPr>
        <b/>
        <sz val="10"/>
        <color indexed="8"/>
        <rFont val="Arial"/>
        <family val="2"/>
      </rPr>
      <t xml:space="preserve"> on S</t>
    </r>
    <r>
      <rPr>
        <b/>
        <vertAlign val="subscript"/>
        <sz val="10"/>
        <color indexed="8"/>
        <rFont val="Arial"/>
        <family val="2"/>
      </rPr>
      <t>F</t>
    </r>
    <r>
      <rPr>
        <b/>
        <sz val="10"/>
        <color indexed="8"/>
        <rFont val="Arial"/>
        <family val="2"/>
      </rPr>
      <t xml:space="preserve"> with S</t>
    </r>
    <r>
      <rPr>
        <b/>
        <vertAlign val="subscript"/>
        <sz val="10"/>
        <color indexed="8"/>
        <rFont val="Arial"/>
        <family val="2"/>
      </rPr>
      <t xml:space="preserve">NHx </t>
    </r>
    <r>
      <rPr>
        <b/>
        <sz val="10"/>
        <color indexed="8"/>
        <rFont val="Arial"/>
        <family val="2"/>
      </rPr>
      <t>/ S</t>
    </r>
    <r>
      <rPr>
        <b/>
        <vertAlign val="subscript"/>
        <sz val="10"/>
        <color indexed="8"/>
        <rFont val="Arial"/>
        <family val="2"/>
      </rPr>
      <t>PO4</t>
    </r>
    <r>
      <rPr>
        <b/>
        <sz val="10"/>
        <color indexed="8"/>
        <rFont val="Arial"/>
        <family val="2"/>
      </rPr>
      <t xml:space="preserve"> limited</t>
    </r>
  </si>
  <si>
    <r>
      <t>-</t>
    </r>
    <r>
      <rPr>
        <i/>
        <sz val="12"/>
        <color indexed="8"/>
        <rFont val="Arial"/>
        <family val="2"/>
      </rPr>
      <t>i</t>
    </r>
    <r>
      <rPr>
        <vertAlign val="subscript"/>
        <sz val="12"/>
        <color indexed="8"/>
        <rFont val="Arial"/>
        <family val="2"/>
      </rPr>
      <t>P_PAO</t>
    </r>
  </si>
  <si>
    <r>
      <t>μ</t>
    </r>
    <r>
      <rPr>
        <vertAlign val="subscript"/>
        <sz val="12"/>
        <color indexed="8"/>
        <rFont val="Arial"/>
        <family val="2"/>
      </rPr>
      <t>PAO,Max,Plim</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S,PAO,Max,Plim</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PO4,PAO,upt</t>
    </r>
    <r>
      <rPr>
        <sz val="12"/>
        <color indexed="8"/>
        <rFont val="Arial"/>
        <family val="2"/>
      </rPr>
      <t>/(</t>
    </r>
    <r>
      <rPr>
        <i/>
        <sz val="12"/>
        <color indexed="8"/>
        <rFont val="Arial"/>
        <family val="2"/>
      </rPr>
      <t>K</t>
    </r>
    <r>
      <rPr>
        <vertAlign val="subscript"/>
        <sz val="12"/>
        <color indexed="8"/>
        <rFont val="Arial"/>
        <family val="2"/>
      </rPr>
      <t>PO4,PAO,upt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sz val="12"/>
        <color indexed="10"/>
        <rFont val="Arial"/>
        <family val="2"/>
      </rPr>
      <t>[</t>
    </r>
    <r>
      <rPr>
        <i/>
        <sz val="12"/>
        <color indexed="10"/>
        <rFont val="Arial"/>
        <family val="2"/>
      </rPr>
      <t>X</t>
    </r>
    <r>
      <rPr>
        <vertAlign val="subscript"/>
        <sz val="12"/>
        <color indexed="10"/>
        <rFont val="Arial"/>
        <family val="2"/>
      </rPr>
      <t>PAO,PP,Lo</t>
    </r>
    <r>
      <rPr>
        <sz val="12"/>
        <color indexed="10"/>
        <rFont val="Arial"/>
        <family val="2"/>
      </rPr>
      <t>/(</t>
    </r>
    <r>
      <rPr>
        <i/>
        <sz val="12"/>
        <color indexed="10"/>
        <rFont val="Arial"/>
        <family val="2"/>
      </rPr>
      <t>K</t>
    </r>
    <r>
      <rPr>
        <vertAlign val="subscript"/>
        <sz val="12"/>
        <color indexed="10"/>
        <rFont val="Arial"/>
        <family val="2"/>
      </rPr>
      <t>PP,PAO</t>
    </r>
    <r>
      <rPr>
        <sz val="12"/>
        <color indexed="10"/>
        <rFont val="Arial"/>
        <family val="2"/>
      </rPr>
      <t>+</t>
    </r>
    <r>
      <rPr>
        <i/>
        <sz val="12"/>
        <color indexed="10"/>
        <rFont val="Arial"/>
        <family val="2"/>
      </rPr>
      <t>X</t>
    </r>
    <r>
      <rPr>
        <vertAlign val="subscript"/>
        <sz val="12"/>
        <color indexed="10"/>
        <rFont val="Arial"/>
        <family val="2"/>
      </rPr>
      <t>PAO,PP,Lo</t>
    </r>
    <r>
      <rPr>
        <sz val="12"/>
        <color indexed="10"/>
        <rFont val="Arial"/>
        <family val="2"/>
      </rPr>
      <t>)]</t>
    </r>
    <r>
      <rPr>
        <sz val="12"/>
        <color indexed="8"/>
        <rFont val="Arial"/>
        <family val="2"/>
      </rPr>
      <t>*</t>
    </r>
    <r>
      <rPr>
        <i/>
        <sz val="12"/>
        <color indexed="8"/>
        <rFont val="Arial"/>
        <family val="2"/>
      </rPr>
      <t>X</t>
    </r>
    <r>
      <rPr>
        <vertAlign val="subscript"/>
        <sz val="12"/>
        <color indexed="8"/>
        <rFont val="Arial"/>
        <family val="2"/>
      </rPr>
      <t>PAO</t>
    </r>
  </si>
  <si>
    <r>
      <t>Aerobic growth of X</t>
    </r>
    <r>
      <rPr>
        <b/>
        <vertAlign val="subscript"/>
        <sz val="10"/>
        <color indexed="8"/>
        <rFont val="Arial"/>
        <family val="2"/>
      </rPr>
      <t>PAO</t>
    </r>
    <r>
      <rPr>
        <b/>
        <sz val="10"/>
        <color indexed="8"/>
        <rFont val="Arial"/>
        <family val="2"/>
      </rPr>
      <t xml:space="preserve"> on S</t>
    </r>
    <r>
      <rPr>
        <b/>
        <vertAlign val="subscript"/>
        <sz val="10"/>
        <color indexed="8"/>
        <rFont val="Arial"/>
        <family val="2"/>
      </rPr>
      <t>F</t>
    </r>
    <r>
      <rPr>
        <b/>
        <sz val="10"/>
        <color indexed="8"/>
        <rFont val="Arial"/>
        <family val="2"/>
      </rPr>
      <t xml:space="preserve"> with S</t>
    </r>
    <r>
      <rPr>
        <b/>
        <vertAlign val="subscript"/>
        <sz val="10"/>
        <color indexed="8"/>
        <rFont val="Arial"/>
        <family val="2"/>
      </rPr>
      <t>NOx</t>
    </r>
    <r>
      <rPr>
        <b/>
        <sz val="10"/>
        <color indexed="8"/>
        <rFont val="Arial"/>
        <family val="2"/>
      </rPr>
      <t>/ S</t>
    </r>
    <r>
      <rPr>
        <b/>
        <vertAlign val="subscript"/>
        <sz val="10"/>
        <color indexed="8"/>
        <rFont val="Arial"/>
        <family val="2"/>
      </rPr>
      <t>PO4</t>
    </r>
    <r>
      <rPr>
        <b/>
        <sz val="10"/>
        <color indexed="8"/>
        <rFont val="Arial"/>
        <family val="2"/>
      </rPr>
      <t xml:space="preserve"> limited</t>
    </r>
  </si>
  <si>
    <r>
      <t>μ</t>
    </r>
    <r>
      <rPr>
        <vertAlign val="subscript"/>
        <sz val="12"/>
        <color indexed="8"/>
        <rFont val="Arial"/>
        <family val="2"/>
      </rPr>
      <t>PAO,Max,Plim</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S,PAO,Max,Plim</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PO4,PAO,upt</t>
    </r>
    <r>
      <rPr>
        <sz val="12"/>
        <color indexed="8"/>
        <rFont val="Arial"/>
        <family val="2"/>
      </rPr>
      <t>/(</t>
    </r>
    <r>
      <rPr>
        <i/>
        <sz val="12"/>
        <color indexed="8"/>
        <rFont val="Arial"/>
        <family val="2"/>
      </rPr>
      <t>K</t>
    </r>
    <r>
      <rPr>
        <vertAlign val="subscript"/>
        <sz val="12"/>
        <color indexed="8"/>
        <rFont val="Arial"/>
        <family val="2"/>
      </rPr>
      <t>PO4,PAO,upt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sz val="12"/>
        <color indexed="10"/>
        <rFont val="Arial"/>
        <family val="2"/>
      </rPr>
      <t>[</t>
    </r>
    <r>
      <rPr>
        <i/>
        <sz val="12"/>
        <color indexed="10"/>
        <rFont val="Arial"/>
        <family val="2"/>
      </rPr>
      <t>X</t>
    </r>
    <r>
      <rPr>
        <vertAlign val="subscript"/>
        <sz val="12"/>
        <color indexed="10"/>
        <rFont val="Arial"/>
        <family val="2"/>
      </rPr>
      <t>PAO,PP,Lo</t>
    </r>
    <r>
      <rPr>
        <sz val="12"/>
        <color indexed="10"/>
        <rFont val="Arial"/>
        <family val="2"/>
      </rPr>
      <t>/(</t>
    </r>
    <r>
      <rPr>
        <i/>
        <sz val="12"/>
        <color indexed="10"/>
        <rFont val="Arial"/>
        <family val="2"/>
      </rPr>
      <t>K</t>
    </r>
    <r>
      <rPr>
        <vertAlign val="subscript"/>
        <sz val="12"/>
        <color indexed="10"/>
        <rFont val="Arial"/>
        <family val="2"/>
      </rPr>
      <t>PP,PAO</t>
    </r>
    <r>
      <rPr>
        <sz val="12"/>
        <color indexed="10"/>
        <rFont val="Arial"/>
        <family val="2"/>
      </rPr>
      <t>+</t>
    </r>
    <r>
      <rPr>
        <i/>
        <sz val="12"/>
        <color indexed="10"/>
        <rFont val="Arial"/>
        <family val="2"/>
      </rPr>
      <t>X</t>
    </r>
    <r>
      <rPr>
        <vertAlign val="subscript"/>
        <sz val="12"/>
        <color indexed="10"/>
        <rFont val="Arial"/>
        <family val="2"/>
      </rPr>
      <t>PAO,PP,Lo</t>
    </r>
    <r>
      <rPr>
        <sz val="12"/>
        <color indexed="10"/>
        <rFont val="Arial"/>
        <family val="2"/>
      </rPr>
      <t>)]</t>
    </r>
    <r>
      <rPr>
        <sz val="12"/>
        <color indexed="8"/>
        <rFont val="Arial"/>
        <family val="2"/>
      </rPr>
      <t>*</t>
    </r>
    <r>
      <rPr>
        <i/>
        <sz val="12"/>
        <color indexed="8"/>
        <rFont val="Arial"/>
        <family val="2"/>
      </rPr>
      <t>X</t>
    </r>
    <r>
      <rPr>
        <vertAlign val="subscript"/>
        <sz val="12"/>
        <color indexed="8"/>
        <rFont val="Arial"/>
        <family val="2"/>
      </rPr>
      <t>PAO</t>
    </r>
  </si>
  <si>
    <r>
      <t>Anoxic growth of X</t>
    </r>
    <r>
      <rPr>
        <b/>
        <vertAlign val="subscript"/>
        <sz val="10"/>
        <color indexed="8"/>
        <rFont val="Arial"/>
        <family val="2"/>
      </rPr>
      <t>PAO</t>
    </r>
    <r>
      <rPr>
        <b/>
        <sz val="10"/>
        <color indexed="8"/>
        <rFont val="Arial"/>
        <family val="2"/>
      </rPr>
      <t xml:space="preserve"> on S</t>
    </r>
    <r>
      <rPr>
        <b/>
        <vertAlign val="subscript"/>
        <sz val="10"/>
        <color indexed="8"/>
        <rFont val="Arial"/>
        <family val="2"/>
      </rPr>
      <t>F</t>
    </r>
    <r>
      <rPr>
        <b/>
        <sz val="10"/>
        <color indexed="8"/>
        <rFont val="Arial"/>
        <family val="2"/>
      </rPr>
      <t xml:space="preserve"> with S</t>
    </r>
    <r>
      <rPr>
        <b/>
        <vertAlign val="subscript"/>
        <sz val="10"/>
        <color indexed="8"/>
        <rFont val="Arial"/>
        <family val="2"/>
      </rPr>
      <t>NHx</t>
    </r>
  </si>
  <si>
    <r>
      <t>f</t>
    </r>
    <r>
      <rPr>
        <vertAlign val="subscript"/>
        <sz val="12"/>
        <color indexed="8"/>
        <rFont val="Arial"/>
        <family val="2"/>
      </rPr>
      <t>PP,Lo_PP</t>
    </r>
    <r>
      <rPr>
        <sz val="12"/>
        <color indexed="8"/>
        <rFont val="Arial"/>
        <family val="2"/>
      </rPr>
      <t>*</t>
    </r>
    <r>
      <rPr>
        <i/>
        <sz val="12"/>
        <color indexed="8"/>
        <rFont val="Arial"/>
        <family val="2"/>
      </rPr>
      <t>Y</t>
    </r>
    <r>
      <rPr>
        <vertAlign val="subscript"/>
        <sz val="12"/>
        <color indexed="8"/>
        <rFont val="Arial"/>
        <family val="2"/>
      </rPr>
      <t>PHA_PP,Ax</t>
    </r>
    <r>
      <rPr>
        <sz val="12"/>
        <color indexed="8"/>
        <rFont val="Arial"/>
        <family val="2"/>
      </rPr>
      <t>/</t>
    </r>
    <r>
      <rPr>
        <i/>
        <sz val="12"/>
        <color indexed="8"/>
        <rFont val="Arial"/>
        <family val="2"/>
      </rPr>
      <t>Y</t>
    </r>
    <r>
      <rPr>
        <vertAlign val="subscript"/>
        <sz val="12"/>
        <color indexed="8"/>
        <rFont val="Arial"/>
        <family val="2"/>
      </rPr>
      <t>PAO</t>
    </r>
  </si>
  <si>
    <r>
      <t>(1-</t>
    </r>
    <r>
      <rPr>
        <i/>
        <sz val="12"/>
        <color indexed="8"/>
        <rFont val="Arial"/>
        <family val="2"/>
      </rPr>
      <t>f</t>
    </r>
    <r>
      <rPr>
        <vertAlign val="subscript"/>
        <sz val="12"/>
        <color indexed="8"/>
        <rFont val="Arial"/>
        <family val="2"/>
      </rPr>
      <t>PP,Lo_PP</t>
    </r>
    <r>
      <rPr>
        <sz val="12"/>
        <color indexed="8"/>
        <rFont val="Arial"/>
        <family val="2"/>
      </rPr>
      <t>)*</t>
    </r>
    <r>
      <rPr>
        <i/>
        <sz val="12"/>
        <color indexed="8"/>
        <rFont val="Arial"/>
        <family val="2"/>
      </rPr>
      <t>Y</t>
    </r>
    <r>
      <rPr>
        <vertAlign val="subscript"/>
        <sz val="12"/>
        <color indexed="8"/>
        <rFont val="Arial"/>
        <family val="2"/>
      </rPr>
      <t>PHA_PP,Ax</t>
    </r>
    <r>
      <rPr>
        <sz val="12"/>
        <color indexed="8"/>
        <rFont val="Arial"/>
        <family val="2"/>
      </rPr>
      <t>/</t>
    </r>
    <r>
      <rPr>
        <i/>
        <sz val="12"/>
        <color indexed="8"/>
        <rFont val="Arial"/>
        <family val="2"/>
      </rPr>
      <t>Y</t>
    </r>
    <r>
      <rPr>
        <vertAlign val="subscript"/>
        <sz val="12"/>
        <color indexed="8"/>
        <rFont val="Arial"/>
        <family val="2"/>
      </rPr>
      <t>PAO</t>
    </r>
  </si>
  <si>
    <r>
      <t>-</t>
    </r>
    <r>
      <rPr>
        <i/>
        <sz val="12"/>
        <color indexed="8"/>
        <rFont val="Arial"/>
        <family val="2"/>
      </rPr>
      <t>Y</t>
    </r>
    <r>
      <rPr>
        <vertAlign val="subscript"/>
        <sz val="12"/>
        <color indexed="8"/>
        <rFont val="Arial"/>
        <family val="2"/>
      </rPr>
      <t>PHA_PP,Ax</t>
    </r>
    <r>
      <rPr>
        <sz val="12"/>
        <color indexed="8"/>
        <rFont val="Arial"/>
        <family val="2"/>
      </rPr>
      <t>/</t>
    </r>
    <r>
      <rPr>
        <i/>
        <sz val="12"/>
        <color indexed="8"/>
        <rFont val="Arial"/>
        <family val="2"/>
      </rPr>
      <t>Y</t>
    </r>
    <r>
      <rPr>
        <vertAlign val="subscript"/>
        <sz val="12"/>
        <color indexed="8"/>
        <rFont val="Arial"/>
        <family val="2"/>
      </rPr>
      <t>PAO</t>
    </r>
    <r>
      <rPr>
        <sz val="12"/>
        <color indexed="8"/>
        <rFont val="Arial"/>
        <family val="2"/>
      </rPr>
      <t>-</t>
    </r>
    <r>
      <rPr>
        <i/>
        <sz val="12"/>
        <color indexed="8"/>
        <rFont val="Arial"/>
        <family val="2"/>
      </rPr>
      <t>i</t>
    </r>
    <r>
      <rPr>
        <vertAlign val="subscript"/>
        <sz val="12"/>
        <color indexed="8"/>
        <rFont val="Arial"/>
        <family val="2"/>
      </rPr>
      <t>P_PAO</t>
    </r>
  </si>
  <si>
    <r>
      <t>-(1-</t>
    </r>
    <r>
      <rPr>
        <i/>
        <sz val="12"/>
        <color indexed="8"/>
        <rFont val="Arial"/>
        <family val="2"/>
      </rPr>
      <t>Y</t>
    </r>
    <r>
      <rPr>
        <vertAlign val="subscript"/>
        <sz val="12"/>
        <color indexed="8"/>
        <rFont val="Arial"/>
        <family val="2"/>
      </rPr>
      <t>PAO</t>
    </r>
    <r>
      <rPr>
        <sz val="12"/>
        <color indexed="8"/>
        <rFont val="Arial"/>
        <family val="2"/>
      </rPr>
      <t>)/(</t>
    </r>
    <r>
      <rPr>
        <i/>
        <sz val="12"/>
        <color indexed="8"/>
        <rFont val="Arial"/>
        <family val="2"/>
      </rPr>
      <t>i</t>
    </r>
    <r>
      <rPr>
        <vertAlign val="subscript"/>
        <sz val="12"/>
        <color indexed="8"/>
        <rFont val="Arial"/>
        <family val="2"/>
      </rPr>
      <t>NOx,N2</t>
    </r>
    <r>
      <rPr>
        <sz val="12"/>
        <color indexed="8"/>
        <rFont val="Arial"/>
        <family val="2"/>
      </rPr>
      <t>*</t>
    </r>
    <r>
      <rPr>
        <i/>
        <sz val="12"/>
        <color indexed="8"/>
        <rFont val="Arial"/>
        <family val="2"/>
      </rPr>
      <t>Y</t>
    </r>
    <r>
      <rPr>
        <vertAlign val="subscript"/>
        <sz val="12"/>
        <color indexed="8"/>
        <rFont val="Arial"/>
        <family val="2"/>
      </rPr>
      <t>PAO</t>
    </r>
    <r>
      <rPr>
        <sz val="12"/>
        <color indexed="8"/>
        <rFont val="Arial"/>
        <family val="2"/>
      </rPr>
      <t>)</t>
    </r>
  </si>
  <si>
    <r>
      <t>(1-</t>
    </r>
    <r>
      <rPr>
        <i/>
        <sz val="12"/>
        <color indexed="10"/>
        <rFont val="Arial"/>
        <family val="2"/>
      </rPr>
      <t>Y</t>
    </r>
    <r>
      <rPr>
        <vertAlign val="subscript"/>
        <sz val="12"/>
        <color indexed="10"/>
        <rFont val="Arial"/>
        <family val="2"/>
      </rPr>
      <t>PAO</t>
    </r>
    <r>
      <rPr>
        <sz val="12"/>
        <color indexed="10"/>
        <rFont val="Arial"/>
        <family val="2"/>
      </rPr>
      <t>)/(</t>
    </r>
    <r>
      <rPr>
        <i/>
        <sz val="12"/>
        <color indexed="10"/>
        <rFont val="Arial"/>
        <family val="2"/>
      </rPr>
      <t>i</t>
    </r>
    <r>
      <rPr>
        <vertAlign val="subscript"/>
        <sz val="12"/>
        <color indexed="10"/>
        <rFont val="Arial"/>
        <family val="2"/>
      </rPr>
      <t>NOx,N2</t>
    </r>
    <r>
      <rPr>
        <sz val="12"/>
        <color indexed="10"/>
        <rFont val="Arial"/>
        <family val="2"/>
      </rPr>
      <t>*</t>
    </r>
    <r>
      <rPr>
        <i/>
        <sz val="12"/>
        <color indexed="10"/>
        <rFont val="Arial"/>
        <family val="2"/>
      </rPr>
      <t>Y</t>
    </r>
    <r>
      <rPr>
        <vertAlign val="subscript"/>
        <sz val="12"/>
        <color indexed="10"/>
        <rFont val="Arial"/>
        <family val="2"/>
      </rPr>
      <t>PAO</t>
    </r>
    <r>
      <rPr>
        <sz val="12"/>
        <color indexed="10"/>
        <rFont val="Arial"/>
        <family val="2"/>
      </rPr>
      <t>)</t>
    </r>
  </si>
  <si>
    <r>
      <t>μ</t>
    </r>
    <r>
      <rPr>
        <vertAlign val="subscript"/>
        <sz val="12"/>
        <color indexed="8"/>
        <rFont val="Arial"/>
        <family val="2"/>
      </rPr>
      <t>PAO,Max</t>
    </r>
    <r>
      <rPr>
        <sz val="12"/>
        <color indexed="8"/>
        <rFont val="Arial"/>
        <family val="2"/>
      </rPr>
      <t>*</t>
    </r>
    <r>
      <rPr>
        <i/>
        <sz val="12"/>
        <color indexed="8"/>
        <rFont val="Arial"/>
        <family val="2"/>
      </rPr>
      <t>η</t>
    </r>
    <r>
      <rPr>
        <vertAlign val="subscript"/>
        <sz val="12"/>
        <color indexed="8"/>
        <rFont val="Arial"/>
        <family val="2"/>
      </rPr>
      <t>P</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S,PAO,Max</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PO4,PAO,upt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PAO</t>
    </r>
  </si>
  <si>
    <r>
      <t>Aerobic decay of X</t>
    </r>
    <r>
      <rPr>
        <b/>
        <vertAlign val="subscript"/>
        <sz val="10"/>
        <color indexed="8"/>
        <rFont val="Arial"/>
        <family val="2"/>
      </rPr>
      <t>PAO</t>
    </r>
  </si>
  <si>
    <r>
      <t>i</t>
    </r>
    <r>
      <rPr>
        <vertAlign val="subscript"/>
        <sz val="12"/>
        <color indexed="8"/>
        <rFont val="Arial"/>
        <family val="2"/>
      </rPr>
      <t>P_PAO</t>
    </r>
    <r>
      <rPr>
        <sz val="12"/>
        <color indexed="8"/>
        <rFont val="Arial"/>
        <family val="2"/>
      </rPr>
      <t>-</t>
    </r>
    <r>
      <rPr>
        <i/>
        <sz val="12"/>
        <color indexed="8"/>
        <rFont val="Arial"/>
        <family val="2"/>
      </rPr>
      <t>f</t>
    </r>
    <r>
      <rPr>
        <vertAlign val="subscript"/>
        <sz val="12"/>
        <color indexed="8"/>
        <rFont val="Arial"/>
        <family val="2"/>
      </rPr>
      <t>XU_PAO,lys</t>
    </r>
    <r>
      <rPr>
        <sz val="12"/>
        <color indexed="8"/>
        <rFont val="Arial"/>
        <family val="2"/>
      </rPr>
      <t>*</t>
    </r>
    <r>
      <rPr>
        <i/>
        <sz val="12"/>
        <color indexed="8"/>
        <rFont val="Arial"/>
        <family val="2"/>
      </rPr>
      <t>i</t>
    </r>
    <r>
      <rPr>
        <vertAlign val="subscript"/>
        <sz val="12"/>
        <color indexed="8"/>
        <rFont val="Arial"/>
        <family val="2"/>
      </rPr>
      <t>P_XUE,PAO</t>
    </r>
  </si>
  <si>
    <r>
      <t>f</t>
    </r>
    <r>
      <rPr>
        <vertAlign val="subscript"/>
        <sz val="12"/>
        <color indexed="8"/>
        <rFont val="Arial"/>
        <family val="2"/>
      </rPr>
      <t>SU_PAO,lys</t>
    </r>
    <r>
      <rPr>
        <sz val="12"/>
        <color indexed="8"/>
        <rFont val="Arial"/>
        <family val="2"/>
      </rPr>
      <t>*</t>
    </r>
    <r>
      <rPr>
        <i/>
        <sz val="12"/>
        <color indexed="8"/>
        <rFont val="Arial"/>
        <family val="2"/>
      </rPr>
      <t>i</t>
    </r>
    <r>
      <rPr>
        <vertAlign val="subscript"/>
        <sz val="12"/>
        <color indexed="8"/>
        <rFont val="Arial"/>
        <family val="2"/>
      </rPr>
      <t>N_SU</t>
    </r>
  </si>
  <si>
    <r>
      <t>i</t>
    </r>
    <r>
      <rPr>
        <vertAlign val="subscript"/>
        <sz val="12"/>
        <color indexed="8"/>
        <rFont val="Arial"/>
        <family val="2"/>
      </rPr>
      <t>N_PAO</t>
    </r>
    <r>
      <rPr>
        <sz val="12"/>
        <color indexed="8"/>
        <rFont val="Arial"/>
        <family val="2"/>
      </rPr>
      <t>-</t>
    </r>
    <r>
      <rPr>
        <i/>
        <sz val="12"/>
        <color indexed="8"/>
        <rFont val="Arial"/>
        <family val="2"/>
      </rPr>
      <t>f</t>
    </r>
    <r>
      <rPr>
        <vertAlign val="subscript"/>
        <sz val="12"/>
        <color indexed="8"/>
        <rFont val="Arial"/>
        <family val="2"/>
      </rPr>
      <t>XU_PAO,lys</t>
    </r>
    <r>
      <rPr>
        <sz val="12"/>
        <color indexed="8"/>
        <rFont val="Arial"/>
        <family val="2"/>
      </rPr>
      <t>*</t>
    </r>
    <r>
      <rPr>
        <i/>
        <sz val="12"/>
        <color indexed="8"/>
        <rFont val="Arial"/>
        <family val="2"/>
      </rPr>
      <t>i</t>
    </r>
    <r>
      <rPr>
        <vertAlign val="subscript"/>
        <sz val="12"/>
        <color indexed="8"/>
        <rFont val="Arial"/>
        <family val="2"/>
      </rPr>
      <t>N_XUE,PAO</t>
    </r>
    <r>
      <rPr>
        <sz val="12"/>
        <color indexed="8"/>
        <rFont val="Arial"/>
        <family val="2"/>
      </rPr>
      <t>-</t>
    </r>
    <r>
      <rPr>
        <i/>
        <sz val="12"/>
        <color indexed="8"/>
        <rFont val="Arial"/>
        <family val="2"/>
      </rPr>
      <t>f</t>
    </r>
    <r>
      <rPr>
        <vertAlign val="subscript"/>
        <sz val="12"/>
        <color indexed="8"/>
        <rFont val="Arial"/>
        <family val="2"/>
      </rPr>
      <t>SU_PAO,lys</t>
    </r>
    <r>
      <rPr>
        <sz val="12"/>
        <color indexed="8"/>
        <rFont val="Arial"/>
        <family val="2"/>
      </rPr>
      <t>*</t>
    </r>
    <r>
      <rPr>
        <i/>
        <sz val="12"/>
        <color indexed="8"/>
        <rFont val="Arial"/>
        <family val="2"/>
      </rPr>
      <t>i</t>
    </r>
    <r>
      <rPr>
        <vertAlign val="subscript"/>
        <sz val="12"/>
        <color indexed="8"/>
        <rFont val="Arial"/>
        <family val="2"/>
      </rPr>
      <t>N_SU</t>
    </r>
  </si>
  <si>
    <r>
      <t>-(1-</t>
    </r>
    <r>
      <rPr>
        <i/>
        <sz val="12"/>
        <color indexed="8"/>
        <rFont val="Arial"/>
        <family val="2"/>
      </rPr>
      <t>f</t>
    </r>
    <r>
      <rPr>
        <vertAlign val="subscript"/>
        <sz val="12"/>
        <color indexed="8"/>
        <rFont val="Arial"/>
        <family val="2"/>
      </rPr>
      <t>XU_PAO,lys</t>
    </r>
    <r>
      <rPr>
        <sz val="12"/>
        <color indexed="8"/>
        <rFont val="Arial"/>
        <family val="2"/>
      </rPr>
      <t>-</t>
    </r>
    <r>
      <rPr>
        <i/>
        <sz val="12"/>
        <color indexed="8"/>
        <rFont val="Arial"/>
        <family val="2"/>
      </rPr>
      <t>f</t>
    </r>
    <r>
      <rPr>
        <vertAlign val="subscript"/>
        <sz val="12"/>
        <color indexed="8"/>
        <rFont val="Arial"/>
        <family val="2"/>
      </rPr>
      <t>SU_PAO,lys</t>
    </r>
    <r>
      <rPr>
        <sz val="12"/>
        <color indexed="8"/>
        <rFont val="Arial"/>
        <family val="2"/>
      </rPr>
      <t>)</t>
    </r>
  </si>
  <si>
    <r>
      <t>m</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X</t>
    </r>
    <r>
      <rPr>
        <vertAlign val="subscript"/>
        <sz val="12"/>
        <color indexed="8"/>
        <rFont val="Arial"/>
        <family val="2"/>
      </rPr>
      <t>PAO</t>
    </r>
  </si>
  <si>
    <r>
      <t>X</t>
    </r>
    <r>
      <rPr>
        <b/>
        <vertAlign val="subscript"/>
        <sz val="10"/>
        <color indexed="8"/>
        <rFont val="Arial"/>
        <family val="2"/>
      </rPr>
      <t xml:space="preserve">PAO,PP,Lo </t>
    </r>
    <r>
      <rPr>
        <b/>
        <sz val="10"/>
        <color indexed="8"/>
        <rFont val="Arial"/>
        <family val="2"/>
      </rPr>
      <t>lysis on aerobic decay</t>
    </r>
  </si>
  <si>
    <r>
      <t>m</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X</t>
    </r>
    <r>
      <rPr>
        <vertAlign val="subscript"/>
        <sz val="12"/>
        <color indexed="8"/>
        <rFont val="Arial"/>
        <family val="2"/>
      </rPr>
      <t>PAO,PP,Lo</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</si>
  <si>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X</t>
    </r>
    <r>
      <rPr>
        <b/>
        <vertAlign val="subscript"/>
        <sz val="10"/>
        <color indexed="8"/>
        <rFont val="Arial"/>
        <family val="2"/>
      </rPr>
      <t xml:space="preserve">PAO,PP,Hi </t>
    </r>
    <r>
      <rPr>
        <b/>
        <sz val="10"/>
        <color indexed="8"/>
        <rFont val="Arial"/>
        <family val="2"/>
      </rPr>
      <t>lysis on aerobic decay</t>
    </r>
  </si>
  <si>
    <r>
      <t>m</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X</t>
    </r>
    <r>
      <rPr>
        <vertAlign val="subscript"/>
        <sz val="12"/>
        <color indexed="8"/>
        <rFont val="Arial"/>
        <family val="2"/>
      </rPr>
      <t>PAO,PP,Hi</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</si>
  <si>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S</t>
    </r>
    <r>
      <rPr>
        <b/>
        <vertAlign val="subscript"/>
        <sz val="10"/>
        <color indexed="8"/>
        <rFont val="Arial"/>
        <family val="2"/>
      </rPr>
      <t xml:space="preserve">F </t>
    </r>
    <r>
      <rPr>
        <b/>
        <sz val="10"/>
        <color indexed="8"/>
        <rFont val="Arial"/>
        <family val="2"/>
      </rPr>
      <t>lysis on aerobic decay</t>
    </r>
  </si>
  <si>
    <r>
      <t>m</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</si>
  <si>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Anoxic decay of X</t>
    </r>
    <r>
      <rPr>
        <b/>
        <vertAlign val="subscript"/>
        <sz val="10"/>
        <color indexed="8"/>
        <rFont val="Arial"/>
        <family val="2"/>
      </rPr>
      <t>PAO</t>
    </r>
  </si>
  <si>
    <r>
      <t>-(1-</t>
    </r>
    <r>
      <rPr>
        <i/>
        <sz val="12"/>
        <color indexed="8"/>
        <rFont val="Arial"/>
        <family val="2"/>
      </rPr>
      <t>f</t>
    </r>
    <r>
      <rPr>
        <vertAlign val="subscript"/>
        <sz val="12"/>
        <color indexed="8"/>
        <rFont val="Arial"/>
        <family val="2"/>
      </rPr>
      <t>XU_PAO,lys</t>
    </r>
    <r>
      <rPr>
        <sz val="12"/>
        <color indexed="8"/>
        <rFont val="Arial"/>
        <family val="2"/>
      </rPr>
      <t>-</t>
    </r>
    <r>
      <rPr>
        <i/>
        <sz val="12"/>
        <color indexed="8"/>
        <rFont val="Arial"/>
        <family val="2"/>
      </rPr>
      <t>f</t>
    </r>
    <r>
      <rPr>
        <vertAlign val="subscript"/>
        <sz val="12"/>
        <color indexed="8"/>
        <rFont val="Arial"/>
        <family val="2"/>
      </rPr>
      <t>SU_PAO,lys</t>
    </r>
    <r>
      <rPr>
        <sz val="12"/>
        <color indexed="8"/>
        <rFont val="Arial"/>
        <family val="2"/>
      </rPr>
      <t>)/</t>
    </r>
    <r>
      <rPr>
        <i/>
        <sz val="12"/>
        <color indexed="8"/>
        <rFont val="Arial"/>
        <family val="2"/>
      </rPr>
      <t>i</t>
    </r>
    <r>
      <rPr>
        <vertAlign val="subscript"/>
        <sz val="12"/>
        <color indexed="8"/>
        <rFont val="Arial"/>
        <family val="2"/>
      </rPr>
      <t>NOx,N2</t>
    </r>
  </si>
  <si>
    <r>
      <t>(1-</t>
    </r>
    <r>
      <rPr>
        <i/>
        <sz val="12"/>
        <color indexed="10"/>
        <rFont val="Arial"/>
        <family val="2"/>
      </rPr>
      <t>f</t>
    </r>
    <r>
      <rPr>
        <vertAlign val="subscript"/>
        <sz val="12"/>
        <color indexed="10"/>
        <rFont val="Arial"/>
        <family val="2"/>
      </rPr>
      <t>XU_PAO,lys</t>
    </r>
    <r>
      <rPr>
        <sz val="12"/>
        <color indexed="10"/>
        <rFont val="Arial"/>
        <family val="2"/>
      </rPr>
      <t>-</t>
    </r>
    <r>
      <rPr>
        <i/>
        <sz val="12"/>
        <color indexed="10"/>
        <rFont val="Arial"/>
        <family val="2"/>
      </rPr>
      <t>f</t>
    </r>
    <r>
      <rPr>
        <vertAlign val="subscript"/>
        <sz val="12"/>
        <color indexed="10"/>
        <rFont val="Arial"/>
        <family val="2"/>
      </rPr>
      <t>SU_PAO,lys</t>
    </r>
    <r>
      <rPr>
        <sz val="12"/>
        <color indexed="10"/>
        <rFont val="Arial"/>
        <family val="2"/>
      </rPr>
      <t>)/</t>
    </r>
    <r>
      <rPr>
        <i/>
        <sz val="12"/>
        <color indexed="10"/>
        <rFont val="Arial"/>
        <family val="2"/>
      </rPr>
      <t>i</t>
    </r>
    <r>
      <rPr>
        <vertAlign val="subscript"/>
        <sz val="12"/>
        <color indexed="10"/>
        <rFont val="Arial"/>
        <family val="2"/>
      </rPr>
      <t>NOx,N2</t>
    </r>
  </si>
  <si>
    <r>
      <t>m</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PAO</t>
    </r>
  </si>
  <si>
    <r>
      <t>X</t>
    </r>
    <r>
      <rPr>
        <b/>
        <vertAlign val="subscript"/>
        <sz val="10"/>
        <color indexed="8"/>
        <rFont val="Arial"/>
        <family val="2"/>
      </rPr>
      <t xml:space="preserve">PAO,PP,Lo </t>
    </r>
    <r>
      <rPr>
        <b/>
        <sz val="10"/>
        <color indexed="8"/>
        <rFont val="Arial"/>
        <family val="2"/>
      </rPr>
      <t>lysis on anoxic decay</t>
    </r>
  </si>
  <si>
    <r>
      <t>m</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PAO,PP,Lo</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</si>
  <si>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Maximum growth rate of X</t>
    </r>
    <r>
      <rPr>
        <vertAlign val="subscript"/>
        <sz val="10"/>
        <rFont val="Arial"/>
        <family val="2"/>
      </rPr>
      <t>PAO</t>
    </r>
    <r>
      <rPr>
        <sz val="10"/>
        <rFont val="Arial"/>
        <family val="2"/>
      </rPr>
      <t xml:space="preserve"> (when P is limiting)</t>
    </r>
  </si>
  <si>
    <r>
      <t>X</t>
    </r>
    <r>
      <rPr>
        <b/>
        <vertAlign val="subscript"/>
        <sz val="10"/>
        <color indexed="8"/>
        <rFont val="Arial"/>
        <family val="2"/>
      </rPr>
      <t xml:space="preserve">PAO,PP,Hi </t>
    </r>
    <r>
      <rPr>
        <b/>
        <sz val="10"/>
        <color indexed="8"/>
        <rFont val="Arial"/>
        <family val="2"/>
      </rPr>
      <t>lysis on anoxic decay</t>
    </r>
  </si>
  <si>
    <r>
      <t>m</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PAO,PP,Hi</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</si>
  <si>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S</t>
    </r>
    <r>
      <rPr>
        <b/>
        <vertAlign val="subscript"/>
        <sz val="10"/>
        <color indexed="8"/>
        <rFont val="Arial"/>
        <family val="2"/>
      </rPr>
      <t xml:space="preserve">F </t>
    </r>
    <r>
      <rPr>
        <b/>
        <sz val="10"/>
        <color indexed="8"/>
        <rFont val="Arial"/>
        <family val="2"/>
      </rPr>
      <t>lysis on anoxic decay</t>
    </r>
  </si>
  <si>
    <r>
      <t>m</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</si>
  <si>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Anaerobic decay of X</t>
    </r>
    <r>
      <rPr>
        <b/>
        <vertAlign val="subscript"/>
        <sz val="10"/>
        <color indexed="8"/>
        <rFont val="Arial"/>
        <family val="2"/>
      </rPr>
      <t>PAO</t>
    </r>
  </si>
  <si>
    <r>
      <t>1-</t>
    </r>
    <r>
      <rPr>
        <i/>
        <sz val="12"/>
        <color indexed="8"/>
        <rFont val="Arial"/>
        <family val="2"/>
      </rPr>
      <t>f</t>
    </r>
    <r>
      <rPr>
        <vertAlign val="subscript"/>
        <sz val="12"/>
        <color indexed="8"/>
        <rFont val="Arial"/>
        <family val="2"/>
      </rPr>
      <t>XU_PAO,lys</t>
    </r>
  </si>
  <si>
    <r>
      <t>m</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PAO</t>
    </r>
  </si>
  <si>
    <r>
      <t>Saturation constant for X</t>
    </r>
    <r>
      <rPr>
        <vertAlign val="subscript"/>
        <sz val="10"/>
        <rFont val="Arial"/>
        <family val="2"/>
      </rPr>
      <t>PAO,PHA</t>
    </r>
    <r>
      <rPr>
        <sz val="10"/>
        <rFont val="Arial"/>
        <family val="2"/>
      </rPr>
      <t>/X</t>
    </r>
    <r>
      <rPr>
        <vertAlign val="subscript"/>
        <sz val="10"/>
        <rFont val="Arial"/>
        <family val="2"/>
      </rPr>
      <t>PAO</t>
    </r>
    <r>
      <rPr>
        <sz val="10"/>
        <rFont val="Arial"/>
        <family val="2"/>
      </rPr>
      <t xml:space="preserve"> (P limit)</t>
    </r>
  </si>
  <si>
    <r>
      <t>X</t>
    </r>
    <r>
      <rPr>
        <b/>
        <vertAlign val="subscript"/>
        <sz val="10"/>
        <color indexed="8"/>
        <rFont val="Arial"/>
        <family val="2"/>
      </rPr>
      <t xml:space="preserve">PAO,PP,Lo </t>
    </r>
    <r>
      <rPr>
        <b/>
        <sz val="10"/>
        <color indexed="8"/>
        <rFont val="Arial"/>
        <family val="2"/>
      </rPr>
      <t>lysis on anaerobic decay</t>
    </r>
  </si>
  <si>
    <r>
      <t>m</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PAO,PP,Lo</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</si>
  <si>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X</t>
    </r>
    <r>
      <rPr>
        <b/>
        <vertAlign val="subscript"/>
        <sz val="10"/>
        <color indexed="8"/>
        <rFont val="Arial"/>
        <family val="2"/>
      </rPr>
      <t xml:space="preserve">PAO,PP,Hi </t>
    </r>
    <r>
      <rPr>
        <b/>
        <sz val="10"/>
        <color indexed="8"/>
        <rFont val="Arial"/>
        <family val="2"/>
      </rPr>
      <t>lysis on anaerobic decay</t>
    </r>
  </si>
  <si>
    <r>
      <t>m</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PAO,PP,Hi</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</si>
  <si>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S</t>
    </r>
    <r>
      <rPr>
        <b/>
        <vertAlign val="subscript"/>
        <sz val="10"/>
        <color indexed="8"/>
        <rFont val="Arial"/>
        <family val="2"/>
      </rPr>
      <t xml:space="preserve">F </t>
    </r>
    <r>
      <rPr>
        <b/>
        <sz val="10"/>
        <color indexed="8"/>
        <rFont val="Arial"/>
        <family val="2"/>
      </rPr>
      <t>lysis on anaerobic decay</t>
    </r>
  </si>
  <si>
    <r>
      <t>m</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</si>
  <si>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Cleavage of X</t>
    </r>
    <r>
      <rPr>
        <b/>
        <vertAlign val="subscript"/>
        <sz val="10"/>
        <color indexed="8"/>
        <rFont val="Arial"/>
        <family val="2"/>
      </rPr>
      <t>PAO,PP,Lo</t>
    </r>
    <r>
      <rPr>
        <b/>
        <sz val="10"/>
        <color indexed="8"/>
        <rFont val="Arial"/>
        <family val="2"/>
      </rPr>
      <t xml:space="preserve"> for anaerobic maintenance</t>
    </r>
  </si>
  <si>
    <r>
      <t>b</t>
    </r>
    <r>
      <rPr>
        <vertAlign val="subscript"/>
        <sz val="12"/>
        <color indexed="8"/>
        <rFont val="Arial"/>
        <family val="2"/>
      </rPr>
      <t>PP_PO4</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X</t>
    </r>
    <r>
      <rPr>
        <vertAlign val="subscript"/>
        <sz val="12"/>
        <color indexed="8"/>
        <rFont val="Arial"/>
        <family val="2"/>
      </rPr>
      <t>PAO,PP,Lo</t>
    </r>
    <r>
      <rPr>
        <sz val="12"/>
        <color indexed="8"/>
        <rFont val="Arial"/>
        <family val="2"/>
      </rPr>
      <t>/(</t>
    </r>
    <r>
      <rPr>
        <i/>
        <sz val="12"/>
        <color indexed="8"/>
        <rFont val="Arial"/>
        <family val="2"/>
      </rPr>
      <t>K</t>
    </r>
    <r>
      <rPr>
        <vertAlign val="subscript"/>
        <sz val="12"/>
        <color indexed="8"/>
        <rFont val="Arial"/>
        <family val="2"/>
      </rPr>
      <t>PP,PAO</t>
    </r>
    <r>
      <rPr>
        <sz val="12"/>
        <color indexed="8"/>
        <rFont val="Arial"/>
        <family val="2"/>
      </rPr>
      <t>+</t>
    </r>
    <r>
      <rPr>
        <i/>
        <sz val="12"/>
        <color indexed="8"/>
        <rFont val="Arial"/>
        <family val="2"/>
      </rPr>
      <t>X</t>
    </r>
    <r>
      <rPr>
        <vertAlign val="subscript"/>
        <sz val="12"/>
        <color indexed="8"/>
        <rFont val="Arial"/>
        <family val="2"/>
      </rPr>
      <t>PAO,PP,Lo</t>
    </r>
    <r>
      <rPr>
        <sz val="12"/>
        <color indexed="8"/>
        <rFont val="Arial"/>
        <family val="2"/>
      </rPr>
      <t>)]*</t>
    </r>
    <r>
      <rPr>
        <i/>
        <sz val="12"/>
        <color indexed="8"/>
        <rFont val="Arial"/>
        <family val="2"/>
      </rPr>
      <t>X</t>
    </r>
    <r>
      <rPr>
        <vertAlign val="subscript"/>
        <sz val="12"/>
        <color indexed="8"/>
        <rFont val="Arial"/>
        <family val="2"/>
      </rPr>
      <t>PAO</t>
    </r>
  </si>
  <si>
    <r>
      <t>Sequestration of S</t>
    </r>
    <r>
      <rPr>
        <b/>
        <vertAlign val="subscript"/>
        <sz val="10"/>
        <color indexed="8"/>
        <rFont val="Arial"/>
        <family val="2"/>
      </rPr>
      <t>Ac</t>
    </r>
    <r>
      <rPr>
        <b/>
        <sz val="10"/>
        <color indexed="8"/>
        <rFont val="Arial"/>
        <family val="2"/>
      </rPr>
      <t xml:space="preserve"> by X</t>
    </r>
    <r>
      <rPr>
        <b/>
        <vertAlign val="subscript"/>
        <sz val="10"/>
        <color indexed="8"/>
        <rFont val="Arial"/>
        <family val="2"/>
      </rPr>
      <t>PAO</t>
    </r>
  </si>
  <si>
    <r>
      <t>(1-</t>
    </r>
    <r>
      <rPr>
        <i/>
        <sz val="12"/>
        <color indexed="10"/>
        <rFont val="Arial"/>
        <family val="2"/>
      </rPr>
      <t>Y</t>
    </r>
    <r>
      <rPr>
        <vertAlign val="subscript"/>
        <sz val="12"/>
        <color indexed="10"/>
        <rFont val="Arial"/>
        <family val="2"/>
      </rPr>
      <t>Ac_PHA,PAO</t>
    </r>
    <r>
      <rPr>
        <sz val="12"/>
        <color indexed="10"/>
        <rFont val="Arial"/>
        <family val="2"/>
      </rPr>
      <t>)/</t>
    </r>
    <r>
      <rPr>
        <i/>
        <sz val="12"/>
        <color indexed="10"/>
        <rFont val="Arial"/>
        <family val="2"/>
      </rPr>
      <t>i</t>
    </r>
    <r>
      <rPr>
        <vertAlign val="subscript"/>
        <sz val="12"/>
        <color indexed="10"/>
        <rFont val="Arial"/>
        <family val="2"/>
      </rPr>
      <t>COD_H2</t>
    </r>
  </si>
  <si>
    <r>
      <t>q</t>
    </r>
    <r>
      <rPr>
        <vertAlign val="subscript"/>
        <sz val="12"/>
        <color indexed="8"/>
        <rFont val="Arial"/>
        <family val="2"/>
      </rPr>
      <t>PAO,Ac_PHA</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K</t>
    </r>
    <r>
      <rPr>
        <vertAlign val="subscript"/>
        <sz val="12"/>
        <color indexed="8"/>
        <rFont val="Arial"/>
        <family val="2"/>
      </rPr>
      <t>Ac,PAO</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X</t>
    </r>
    <r>
      <rPr>
        <vertAlign val="subscript"/>
        <sz val="12"/>
        <color indexed="8"/>
        <rFont val="Arial"/>
        <family val="2"/>
      </rPr>
      <t>PAO,PP,Lo</t>
    </r>
    <r>
      <rPr>
        <sz val="12"/>
        <color indexed="8"/>
        <rFont val="Arial"/>
        <family val="2"/>
      </rPr>
      <t>/(</t>
    </r>
    <r>
      <rPr>
        <i/>
        <sz val="12"/>
        <color indexed="8"/>
        <rFont val="Arial"/>
        <family val="2"/>
      </rPr>
      <t>K</t>
    </r>
    <r>
      <rPr>
        <vertAlign val="subscript"/>
        <sz val="12"/>
        <color indexed="8"/>
        <rFont val="Arial"/>
        <family val="2"/>
      </rPr>
      <t>PP,PAO</t>
    </r>
    <r>
      <rPr>
        <sz val="12"/>
        <color indexed="8"/>
        <rFont val="Arial"/>
        <family val="2"/>
      </rPr>
      <t>+</t>
    </r>
    <r>
      <rPr>
        <i/>
        <sz val="12"/>
        <color indexed="8"/>
        <rFont val="Arial"/>
        <family val="2"/>
      </rPr>
      <t>X</t>
    </r>
    <r>
      <rPr>
        <vertAlign val="subscript"/>
        <sz val="12"/>
        <color indexed="8"/>
        <rFont val="Arial"/>
        <family val="2"/>
      </rPr>
      <t>PAO,PP,Lo</t>
    </r>
    <r>
      <rPr>
        <sz val="12"/>
        <color indexed="8"/>
        <rFont val="Arial"/>
        <family val="2"/>
      </rPr>
      <t>)]*</t>
    </r>
    <r>
      <rPr>
        <i/>
        <sz val="12"/>
        <color indexed="8"/>
        <rFont val="Arial"/>
        <family val="2"/>
      </rPr>
      <t>X</t>
    </r>
    <r>
      <rPr>
        <vertAlign val="subscript"/>
        <sz val="12"/>
        <color indexed="8"/>
        <rFont val="Arial"/>
        <family val="2"/>
      </rPr>
      <t>PAO</t>
    </r>
  </si>
  <si>
    <r>
      <t>Z</t>
    </r>
    <r>
      <rPr>
        <b/>
        <vertAlign val="subscript"/>
        <sz val="10"/>
        <color indexed="8"/>
        <rFont val="Arial"/>
        <family val="2"/>
      </rPr>
      <t>H</t>
    </r>
  </si>
  <si>
    <r>
      <t>Z</t>
    </r>
    <r>
      <rPr>
        <b/>
        <vertAlign val="subscript"/>
        <sz val="10"/>
        <color indexed="8"/>
        <rFont val="Arial"/>
        <family val="2"/>
      </rPr>
      <t>A</t>
    </r>
  </si>
  <si>
    <r>
      <t>Z</t>
    </r>
    <r>
      <rPr>
        <b/>
        <vertAlign val="subscript"/>
        <sz val="10"/>
        <color indexed="8"/>
        <rFont val="Arial"/>
        <family val="2"/>
      </rPr>
      <t>P</t>
    </r>
  </si>
  <si>
    <r>
      <t>Z</t>
    </r>
    <r>
      <rPr>
        <b/>
        <vertAlign val="subscript"/>
        <sz val="10"/>
        <color indexed="8"/>
        <rFont val="Arial"/>
        <family val="2"/>
      </rPr>
      <t>E</t>
    </r>
  </si>
  <si>
    <r>
      <t>S</t>
    </r>
    <r>
      <rPr>
        <b/>
        <vertAlign val="subscript"/>
        <sz val="10"/>
        <color indexed="8"/>
        <rFont val="Arial"/>
        <family val="2"/>
      </rPr>
      <t>EMM</t>
    </r>
  </si>
  <si>
    <r>
      <t>S</t>
    </r>
    <r>
      <rPr>
        <b/>
        <vertAlign val="subscript"/>
        <sz val="10"/>
        <color indexed="8"/>
        <rFont val="Arial"/>
        <family val="2"/>
      </rPr>
      <t>BSC</t>
    </r>
  </si>
  <si>
    <r>
      <t>S</t>
    </r>
    <r>
      <rPr>
        <b/>
        <vertAlign val="subscript"/>
        <sz val="10"/>
        <color indexed="8"/>
        <rFont val="Arial"/>
        <family val="2"/>
      </rPr>
      <t>BSA</t>
    </r>
  </si>
  <si>
    <r>
      <t>S</t>
    </r>
    <r>
      <rPr>
        <b/>
        <vertAlign val="subscript"/>
        <sz val="10"/>
        <color indexed="8"/>
        <rFont val="Arial"/>
        <family val="2"/>
      </rPr>
      <t>PHB</t>
    </r>
  </si>
  <si>
    <r>
      <t>S</t>
    </r>
    <r>
      <rPr>
        <b/>
        <vertAlign val="subscript"/>
        <sz val="10"/>
        <color indexed="8"/>
        <rFont val="Arial"/>
        <family val="2"/>
      </rPr>
      <t>UP</t>
    </r>
  </si>
  <si>
    <r>
      <t>S</t>
    </r>
    <r>
      <rPr>
        <b/>
        <vertAlign val="subscript"/>
        <sz val="10"/>
        <color indexed="8"/>
        <rFont val="Arial"/>
        <family val="2"/>
      </rPr>
      <t>US</t>
    </r>
  </si>
  <si>
    <r>
      <t>P</t>
    </r>
    <r>
      <rPr>
        <b/>
        <vertAlign val="subscript"/>
        <sz val="10"/>
        <color indexed="8"/>
        <rFont val="Arial"/>
        <family val="2"/>
      </rPr>
      <t>PP-LO</t>
    </r>
  </si>
  <si>
    <r>
      <t>P</t>
    </r>
    <r>
      <rPr>
        <b/>
        <vertAlign val="subscript"/>
        <sz val="10"/>
        <color indexed="8"/>
        <rFont val="Arial"/>
        <family val="2"/>
      </rPr>
      <t>PP-HI</t>
    </r>
  </si>
  <si>
    <r>
      <t>P</t>
    </r>
    <r>
      <rPr>
        <b/>
        <vertAlign val="subscript"/>
        <sz val="10"/>
        <color indexed="8"/>
        <rFont val="Arial"/>
        <family val="2"/>
      </rPr>
      <t>O4</t>
    </r>
  </si>
  <si>
    <r>
      <t>N</t>
    </r>
    <r>
      <rPr>
        <b/>
        <vertAlign val="subscript"/>
        <sz val="10"/>
        <color indexed="8"/>
        <rFont val="Arial"/>
        <family val="2"/>
      </rPr>
      <t>BP</t>
    </r>
  </si>
  <si>
    <r>
      <t>N</t>
    </r>
    <r>
      <rPr>
        <b/>
        <vertAlign val="subscript"/>
        <sz val="10"/>
        <color indexed="8"/>
        <rFont val="Arial"/>
        <family val="2"/>
      </rPr>
      <t>BS</t>
    </r>
  </si>
  <si>
    <r>
      <t>N</t>
    </r>
    <r>
      <rPr>
        <b/>
        <vertAlign val="subscript"/>
        <sz val="10"/>
        <color indexed="8"/>
        <rFont val="Arial"/>
        <family val="2"/>
      </rPr>
      <t>O3</t>
    </r>
  </si>
  <si>
    <r>
      <t>N</t>
    </r>
    <r>
      <rPr>
        <b/>
        <vertAlign val="subscript"/>
        <sz val="10"/>
        <color indexed="8"/>
        <rFont val="Arial"/>
        <family val="2"/>
      </rPr>
      <t>H3</t>
    </r>
  </si>
  <si>
    <r>
      <t>N</t>
    </r>
    <r>
      <rPr>
        <b/>
        <vertAlign val="subscript"/>
        <sz val="10"/>
        <color indexed="8"/>
        <rFont val="Arial"/>
        <family val="2"/>
      </rPr>
      <t>US</t>
    </r>
  </si>
  <si>
    <r>
      <t>S</t>
    </r>
    <r>
      <rPr>
        <b/>
        <vertAlign val="subscript"/>
        <sz val="10"/>
        <color indexed="8"/>
        <rFont val="Arial"/>
        <family val="2"/>
      </rPr>
      <t>O</t>
    </r>
  </si>
  <si>
    <r>
      <t>S</t>
    </r>
    <r>
      <rPr>
        <b/>
        <vertAlign val="subscript"/>
        <sz val="10"/>
        <color indexed="8"/>
        <rFont val="Arial"/>
        <family val="2"/>
      </rPr>
      <t>N2</t>
    </r>
  </si>
  <si>
    <r>
      <t>S</t>
    </r>
    <r>
      <rPr>
        <b/>
        <vertAlign val="subscript"/>
        <sz val="10"/>
        <color indexed="8"/>
        <rFont val="Arial"/>
        <family val="2"/>
      </rPr>
      <t>H2</t>
    </r>
  </si>
  <si>
    <r>
      <t>Aerobic growth of Z</t>
    </r>
    <r>
      <rPr>
        <vertAlign val="subscript"/>
        <sz val="10"/>
        <color indexed="8"/>
        <rFont val="Arial"/>
        <family val="2"/>
      </rPr>
      <t>H</t>
    </r>
    <r>
      <rPr>
        <sz val="10"/>
        <color indexed="8"/>
        <rFont val="Arial"/>
        <family val="2"/>
      </rPr>
      <t xml:space="preserve"> on S</t>
    </r>
    <r>
      <rPr>
        <vertAlign val="subscript"/>
        <sz val="10"/>
        <color indexed="8"/>
        <rFont val="Arial"/>
        <family val="2"/>
      </rPr>
      <t>BSC</t>
    </r>
    <r>
      <rPr>
        <sz val="10"/>
        <color indexed="8"/>
        <rFont val="Arial"/>
        <family val="2"/>
      </rPr>
      <t xml:space="preserve"> with N</t>
    </r>
    <r>
      <rPr>
        <vertAlign val="subscript"/>
        <sz val="10"/>
        <color indexed="8"/>
        <rFont val="Arial"/>
        <family val="2"/>
      </rPr>
      <t>H3</t>
    </r>
  </si>
  <si>
    <r>
      <t>Anoxic growth of Z</t>
    </r>
    <r>
      <rPr>
        <vertAlign val="subscript"/>
        <sz val="10"/>
        <color indexed="8"/>
        <rFont val="Arial"/>
        <family val="2"/>
      </rPr>
      <t>H</t>
    </r>
    <r>
      <rPr>
        <sz val="10"/>
        <color indexed="8"/>
        <rFont val="Arial"/>
        <family val="2"/>
      </rPr>
      <t xml:space="preserve"> on S</t>
    </r>
    <r>
      <rPr>
        <vertAlign val="subscript"/>
        <sz val="10"/>
        <color indexed="8"/>
        <rFont val="Arial"/>
        <family val="2"/>
      </rPr>
      <t>BSC</t>
    </r>
    <r>
      <rPr>
        <sz val="10"/>
        <color indexed="8"/>
        <rFont val="Arial"/>
        <family val="2"/>
      </rPr>
      <t xml:space="preserve"> with N</t>
    </r>
    <r>
      <rPr>
        <vertAlign val="subscript"/>
        <sz val="10"/>
        <color indexed="8"/>
        <rFont val="Arial"/>
        <family val="2"/>
      </rPr>
      <t>H3</t>
    </r>
  </si>
  <si>
    <r>
      <t>Aerobic growth of Z</t>
    </r>
    <r>
      <rPr>
        <vertAlign val="subscript"/>
        <sz val="10"/>
        <color indexed="8"/>
        <rFont val="Arial"/>
        <family val="2"/>
      </rPr>
      <t>H</t>
    </r>
    <r>
      <rPr>
        <sz val="10"/>
        <color indexed="8"/>
        <rFont val="Arial"/>
        <family val="2"/>
      </rPr>
      <t xml:space="preserve"> on S</t>
    </r>
    <r>
      <rPr>
        <vertAlign val="subscript"/>
        <sz val="10"/>
        <color indexed="8"/>
        <rFont val="Arial"/>
        <family val="2"/>
      </rPr>
      <t>BSC</t>
    </r>
    <r>
      <rPr>
        <sz val="10"/>
        <color indexed="8"/>
        <rFont val="Arial"/>
        <family val="2"/>
      </rPr>
      <t xml:space="preserve"> with N</t>
    </r>
    <r>
      <rPr>
        <vertAlign val="subscript"/>
        <sz val="10"/>
        <color indexed="8"/>
        <rFont val="Arial"/>
        <family val="2"/>
      </rPr>
      <t>O3</t>
    </r>
  </si>
  <si>
    <r>
      <t>Anoxic growth of Z</t>
    </r>
    <r>
      <rPr>
        <vertAlign val="subscript"/>
        <sz val="10"/>
        <color indexed="8"/>
        <rFont val="Arial"/>
        <family val="2"/>
      </rPr>
      <t>H</t>
    </r>
    <r>
      <rPr>
        <sz val="10"/>
        <color indexed="8"/>
        <rFont val="Arial"/>
        <family val="2"/>
      </rPr>
      <t xml:space="preserve"> on S</t>
    </r>
    <r>
      <rPr>
        <vertAlign val="subscript"/>
        <sz val="10"/>
        <color indexed="8"/>
        <rFont val="Arial"/>
        <family val="2"/>
      </rPr>
      <t>BSC</t>
    </r>
    <r>
      <rPr>
        <sz val="10"/>
        <color indexed="8"/>
        <rFont val="Arial"/>
        <family val="2"/>
      </rPr>
      <t xml:space="preserve"> with N</t>
    </r>
    <r>
      <rPr>
        <vertAlign val="subscript"/>
        <sz val="10"/>
        <color indexed="8"/>
        <rFont val="Arial"/>
        <family val="2"/>
      </rPr>
      <t>O3</t>
    </r>
  </si>
  <si>
    <r>
      <t>Aerobic growth of Z</t>
    </r>
    <r>
      <rPr>
        <vertAlign val="subscript"/>
        <sz val="10"/>
        <color indexed="8"/>
        <rFont val="Arial"/>
        <family val="2"/>
      </rPr>
      <t>H</t>
    </r>
    <r>
      <rPr>
        <sz val="10"/>
        <color indexed="8"/>
        <rFont val="Arial"/>
        <family val="2"/>
      </rPr>
      <t xml:space="preserve"> on S</t>
    </r>
    <r>
      <rPr>
        <vertAlign val="subscript"/>
        <sz val="10"/>
        <color indexed="8"/>
        <rFont val="Arial"/>
        <family val="2"/>
      </rPr>
      <t>BSA</t>
    </r>
    <r>
      <rPr>
        <sz val="10"/>
        <color indexed="8"/>
        <rFont val="Arial"/>
        <family val="2"/>
      </rPr>
      <t xml:space="preserve"> with N</t>
    </r>
    <r>
      <rPr>
        <vertAlign val="subscript"/>
        <sz val="10"/>
        <color indexed="8"/>
        <rFont val="Arial"/>
        <family val="2"/>
      </rPr>
      <t>H3</t>
    </r>
  </si>
  <si>
    <r>
      <t>Anoxic growth of Z</t>
    </r>
    <r>
      <rPr>
        <vertAlign val="subscript"/>
        <sz val="10"/>
        <color indexed="8"/>
        <rFont val="Arial"/>
        <family val="2"/>
      </rPr>
      <t>H</t>
    </r>
    <r>
      <rPr>
        <sz val="10"/>
        <color indexed="8"/>
        <rFont val="Arial"/>
        <family val="2"/>
      </rPr>
      <t xml:space="preserve"> on S</t>
    </r>
    <r>
      <rPr>
        <vertAlign val="subscript"/>
        <sz val="10"/>
        <color indexed="8"/>
        <rFont val="Arial"/>
        <family val="2"/>
      </rPr>
      <t>BSA</t>
    </r>
    <r>
      <rPr>
        <sz val="10"/>
        <color indexed="8"/>
        <rFont val="Arial"/>
        <family val="2"/>
      </rPr>
      <t xml:space="preserve"> with N</t>
    </r>
    <r>
      <rPr>
        <vertAlign val="subscript"/>
        <sz val="10"/>
        <color indexed="8"/>
        <rFont val="Arial"/>
        <family val="2"/>
      </rPr>
      <t>H3</t>
    </r>
  </si>
  <si>
    <r>
      <t>Aerobic growth of Z</t>
    </r>
    <r>
      <rPr>
        <vertAlign val="subscript"/>
        <sz val="10"/>
        <color indexed="8"/>
        <rFont val="Arial"/>
        <family val="2"/>
      </rPr>
      <t>H</t>
    </r>
    <r>
      <rPr>
        <sz val="10"/>
        <color indexed="8"/>
        <rFont val="Arial"/>
        <family val="2"/>
      </rPr>
      <t xml:space="preserve"> on S</t>
    </r>
    <r>
      <rPr>
        <vertAlign val="subscript"/>
        <sz val="10"/>
        <color indexed="8"/>
        <rFont val="Arial"/>
        <family val="2"/>
      </rPr>
      <t>BSA</t>
    </r>
    <r>
      <rPr>
        <sz val="10"/>
        <color indexed="8"/>
        <rFont val="Arial"/>
        <family val="2"/>
      </rPr>
      <t xml:space="preserve"> with N</t>
    </r>
    <r>
      <rPr>
        <vertAlign val="subscript"/>
        <sz val="10"/>
        <color indexed="8"/>
        <rFont val="Arial"/>
        <family val="2"/>
      </rPr>
      <t>O3</t>
    </r>
  </si>
  <si>
    <r>
      <t>Anoxic growth of Z</t>
    </r>
    <r>
      <rPr>
        <vertAlign val="subscript"/>
        <sz val="10"/>
        <color indexed="8"/>
        <rFont val="Arial"/>
        <family val="2"/>
      </rPr>
      <t>H</t>
    </r>
    <r>
      <rPr>
        <sz val="10"/>
        <color indexed="8"/>
        <rFont val="Arial"/>
        <family val="2"/>
      </rPr>
      <t xml:space="preserve"> on S</t>
    </r>
    <r>
      <rPr>
        <vertAlign val="subscript"/>
        <sz val="10"/>
        <color indexed="8"/>
        <rFont val="Arial"/>
        <family val="2"/>
      </rPr>
      <t>BSA</t>
    </r>
    <r>
      <rPr>
        <sz val="10"/>
        <color indexed="8"/>
        <rFont val="Arial"/>
        <family val="2"/>
      </rPr>
      <t xml:space="preserve"> with N</t>
    </r>
    <r>
      <rPr>
        <vertAlign val="subscript"/>
        <sz val="10"/>
        <color indexed="8"/>
        <rFont val="Arial"/>
        <family val="2"/>
      </rPr>
      <t>O3</t>
    </r>
  </si>
  <si>
    <r>
      <t>Decay of Z</t>
    </r>
    <r>
      <rPr>
        <vertAlign val="subscript"/>
        <sz val="10"/>
        <color indexed="8"/>
        <rFont val="Arial"/>
        <family val="2"/>
      </rPr>
      <t>H</t>
    </r>
  </si>
  <si>
    <r>
      <t>Aerobic hydrolysis of S</t>
    </r>
    <r>
      <rPr>
        <vertAlign val="subscript"/>
        <sz val="10"/>
        <color indexed="8"/>
        <rFont val="Arial"/>
        <family val="2"/>
      </rPr>
      <t>ENM</t>
    </r>
  </si>
  <si>
    <r>
      <t>Anoxic hydrolysis of S</t>
    </r>
    <r>
      <rPr>
        <vertAlign val="subscript"/>
        <sz val="10"/>
        <color indexed="8"/>
        <rFont val="Arial"/>
        <family val="2"/>
      </rPr>
      <t>ENM</t>
    </r>
  </si>
  <si>
    <r>
      <t>Anaerobic hydrolysis of S</t>
    </r>
    <r>
      <rPr>
        <vertAlign val="subscript"/>
        <sz val="10"/>
        <color indexed="8"/>
        <rFont val="Arial"/>
        <family val="2"/>
      </rPr>
      <t>ENM</t>
    </r>
  </si>
  <si>
    <r>
      <t>Fermentation of S</t>
    </r>
    <r>
      <rPr>
        <vertAlign val="subscript"/>
        <sz val="10"/>
        <color indexed="8"/>
        <rFont val="Arial"/>
        <family val="2"/>
      </rPr>
      <t>BSC</t>
    </r>
    <r>
      <rPr>
        <sz val="10"/>
        <color indexed="8"/>
        <rFont val="Arial"/>
        <family val="2"/>
      </rPr>
      <t xml:space="preserve"> to S</t>
    </r>
    <r>
      <rPr>
        <vertAlign val="subscript"/>
        <sz val="10"/>
        <color indexed="8"/>
        <rFont val="Arial"/>
        <family val="2"/>
      </rPr>
      <t>BSA</t>
    </r>
  </si>
  <si>
    <r>
      <t>Growth of Z</t>
    </r>
    <r>
      <rPr>
        <vertAlign val="subscript"/>
        <sz val="10"/>
        <color indexed="8"/>
        <rFont val="Arial"/>
        <family val="2"/>
      </rPr>
      <t>A</t>
    </r>
  </si>
  <si>
    <r>
      <t>Decay of Z</t>
    </r>
    <r>
      <rPr>
        <vertAlign val="subscript"/>
        <sz val="10"/>
        <color indexed="8"/>
        <rFont val="Arial"/>
        <family val="2"/>
      </rPr>
      <t>A</t>
    </r>
  </si>
  <si>
    <r>
      <t>Aerobic growth of Z</t>
    </r>
    <r>
      <rPr>
        <vertAlign val="subscript"/>
        <sz val="10"/>
        <color indexed="8"/>
        <rFont val="Arial"/>
        <family val="2"/>
      </rPr>
      <t>P</t>
    </r>
    <r>
      <rPr>
        <sz val="10"/>
        <color indexed="8"/>
        <rFont val="Arial"/>
        <family val="2"/>
      </rPr>
      <t xml:space="preserve"> on S</t>
    </r>
    <r>
      <rPr>
        <vertAlign val="subscript"/>
        <sz val="10"/>
        <color indexed="8"/>
        <rFont val="Arial"/>
        <family val="2"/>
      </rPr>
      <t>PHB</t>
    </r>
    <r>
      <rPr>
        <sz val="10"/>
        <color indexed="8"/>
        <rFont val="Arial"/>
        <family val="2"/>
      </rPr>
      <t xml:space="preserve"> with N</t>
    </r>
    <r>
      <rPr>
        <vertAlign val="subscript"/>
        <sz val="10"/>
        <color indexed="8"/>
        <rFont val="Arial"/>
        <family val="2"/>
      </rPr>
      <t>H3</t>
    </r>
  </si>
  <si>
    <r>
      <t>Aerobic growth of Z</t>
    </r>
    <r>
      <rPr>
        <vertAlign val="subscript"/>
        <sz val="10"/>
        <color indexed="8"/>
        <rFont val="Arial"/>
        <family val="2"/>
      </rPr>
      <t>P</t>
    </r>
    <r>
      <rPr>
        <sz val="10"/>
        <color indexed="8"/>
        <rFont val="Arial"/>
        <family val="2"/>
      </rPr>
      <t xml:space="preserve"> on S</t>
    </r>
    <r>
      <rPr>
        <vertAlign val="subscript"/>
        <sz val="10"/>
        <color indexed="8"/>
        <rFont val="Arial"/>
        <family val="2"/>
      </rPr>
      <t>PHB</t>
    </r>
    <r>
      <rPr>
        <sz val="10"/>
        <color indexed="8"/>
        <rFont val="Arial"/>
        <family val="2"/>
      </rPr>
      <t xml:space="preserve"> with N</t>
    </r>
    <r>
      <rPr>
        <vertAlign val="subscript"/>
        <sz val="10"/>
        <color indexed="8"/>
        <rFont val="Arial"/>
        <family val="2"/>
      </rPr>
      <t>O3</t>
    </r>
  </si>
  <si>
    <r>
      <t>Aerobic growth of Z</t>
    </r>
    <r>
      <rPr>
        <vertAlign val="subscript"/>
        <sz val="10"/>
        <color indexed="8"/>
        <rFont val="Arial"/>
        <family val="2"/>
      </rPr>
      <t>P</t>
    </r>
    <r>
      <rPr>
        <sz val="10"/>
        <color indexed="8"/>
        <rFont val="Arial"/>
        <family val="2"/>
      </rPr>
      <t xml:space="preserve"> on S</t>
    </r>
    <r>
      <rPr>
        <vertAlign val="subscript"/>
        <sz val="10"/>
        <color indexed="8"/>
        <rFont val="Arial"/>
        <family val="2"/>
      </rPr>
      <t>PHB</t>
    </r>
    <r>
      <rPr>
        <sz val="10"/>
        <color indexed="8"/>
        <rFont val="Arial"/>
        <family val="2"/>
      </rPr>
      <t xml:space="preserve"> with N</t>
    </r>
    <r>
      <rPr>
        <vertAlign val="subscript"/>
        <sz val="10"/>
        <color indexed="8"/>
        <rFont val="Arial"/>
        <family val="2"/>
      </rPr>
      <t xml:space="preserve">H3 </t>
    </r>
    <r>
      <rPr>
        <sz val="10"/>
        <color indexed="8"/>
        <rFont val="Arial"/>
        <family val="2"/>
      </rPr>
      <t>/ P</t>
    </r>
    <r>
      <rPr>
        <vertAlign val="subscript"/>
        <sz val="10"/>
        <color indexed="8"/>
        <rFont val="Arial"/>
        <family val="2"/>
      </rPr>
      <t>O4</t>
    </r>
    <r>
      <rPr>
        <sz val="10"/>
        <color indexed="8"/>
        <rFont val="Arial"/>
        <family val="2"/>
      </rPr>
      <t xml:space="preserve"> limited</t>
    </r>
  </si>
  <si>
    <r>
      <t>Aerobic growth of Z</t>
    </r>
    <r>
      <rPr>
        <vertAlign val="subscript"/>
        <sz val="10"/>
        <color indexed="8"/>
        <rFont val="Arial"/>
        <family val="2"/>
      </rPr>
      <t>P</t>
    </r>
    <r>
      <rPr>
        <sz val="10"/>
        <color indexed="8"/>
        <rFont val="Arial"/>
        <family val="2"/>
      </rPr>
      <t xml:space="preserve"> on S</t>
    </r>
    <r>
      <rPr>
        <vertAlign val="subscript"/>
        <sz val="10"/>
        <color indexed="8"/>
        <rFont val="Arial"/>
        <family val="2"/>
      </rPr>
      <t>PHB</t>
    </r>
    <r>
      <rPr>
        <sz val="10"/>
        <color indexed="8"/>
        <rFont val="Arial"/>
        <family val="2"/>
      </rPr>
      <t xml:space="preserve"> with N</t>
    </r>
    <r>
      <rPr>
        <vertAlign val="subscript"/>
        <sz val="10"/>
        <color indexed="8"/>
        <rFont val="Arial"/>
        <family val="2"/>
      </rPr>
      <t xml:space="preserve">O3 </t>
    </r>
    <r>
      <rPr>
        <sz val="10"/>
        <color indexed="8"/>
        <rFont val="Arial"/>
        <family val="2"/>
      </rPr>
      <t>/ P</t>
    </r>
    <r>
      <rPr>
        <vertAlign val="subscript"/>
        <sz val="10"/>
        <color indexed="8"/>
        <rFont val="Arial"/>
        <family val="2"/>
      </rPr>
      <t>O4</t>
    </r>
    <r>
      <rPr>
        <sz val="10"/>
        <color indexed="8"/>
        <rFont val="Arial"/>
        <family val="2"/>
      </rPr>
      <t xml:space="preserve"> limited</t>
    </r>
  </si>
  <si>
    <r>
      <t>Anoxic growth of Z</t>
    </r>
    <r>
      <rPr>
        <vertAlign val="subscript"/>
        <sz val="10"/>
        <color indexed="8"/>
        <rFont val="Arial"/>
        <family val="2"/>
      </rPr>
      <t>P</t>
    </r>
    <r>
      <rPr>
        <sz val="10"/>
        <color indexed="8"/>
        <rFont val="Arial"/>
        <family val="2"/>
      </rPr>
      <t xml:space="preserve"> on S</t>
    </r>
    <r>
      <rPr>
        <vertAlign val="subscript"/>
        <sz val="10"/>
        <color indexed="8"/>
        <rFont val="Arial"/>
        <family val="2"/>
      </rPr>
      <t>PHB</t>
    </r>
    <r>
      <rPr>
        <sz val="10"/>
        <color indexed="8"/>
        <rFont val="Arial"/>
        <family val="2"/>
      </rPr>
      <t xml:space="preserve"> with N</t>
    </r>
    <r>
      <rPr>
        <vertAlign val="subscript"/>
        <sz val="10"/>
        <color indexed="8"/>
        <rFont val="Arial"/>
        <family val="2"/>
      </rPr>
      <t>H3</t>
    </r>
  </si>
  <si>
    <r>
      <t>Aerobic decay of Z</t>
    </r>
    <r>
      <rPr>
        <vertAlign val="subscript"/>
        <sz val="10"/>
        <color indexed="8"/>
        <rFont val="Arial"/>
        <family val="2"/>
      </rPr>
      <t>P</t>
    </r>
  </si>
  <si>
    <r>
      <t>P</t>
    </r>
    <r>
      <rPr>
        <vertAlign val="subscript"/>
        <sz val="10"/>
        <color indexed="8"/>
        <rFont val="Arial"/>
        <family val="2"/>
      </rPr>
      <t xml:space="preserve">PP-LO </t>
    </r>
    <r>
      <rPr>
        <sz val="10"/>
        <color indexed="8"/>
        <rFont val="Arial"/>
        <family val="2"/>
      </rPr>
      <t>lysis on aerobic decay</t>
    </r>
  </si>
  <si>
    <r>
      <t>P</t>
    </r>
    <r>
      <rPr>
        <vertAlign val="subscript"/>
        <sz val="10"/>
        <color indexed="8"/>
        <rFont val="Arial"/>
        <family val="2"/>
      </rPr>
      <t xml:space="preserve">PP-HI </t>
    </r>
    <r>
      <rPr>
        <sz val="10"/>
        <color indexed="8"/>
        <rFont val="Arial"/>
        <family val="2"/>
      </rPr>
      <t>lysis on aerobic decay</t>
    </r>
  </si>
  <si>
    <r>
      <t>S</t>
    </r>
    <r>
      <rPr>
        <vertAlign val="subscript"/>
        <sz val="10"/>
        <color indexed="8"/>
        <rFont val="Arial"/>
        <family val="2"/>
      </rPr>
      <t xml:space="preserve">PHB </t>
    </r>
    <r>
      <rPr>
        <sz val="10"/>
        <color indexed="8"/>
        <rFont val="Arial"/>
        <family val="2"/>
      </rPr>
      <t>lysis on aerobic decay</t>
    </r>
  </si>
  <si>
    <r>
      <t>Anoxic decay of Z</t>
    </r>
    <r>
      <rPr>
        <vertAlign val="subscript"/>
        <sz val="10"/>
        <color indexed="8"/>
        <rFont val="Arial"/>
        <family val="2"/>
      </rPr>
      <t>P</t>
    </r>
  </si>
  <si>
    <r>
      <t>P</t>
    </r>
    <r>
      <rPr>
        <vertAlign val="subscript"/>
        <sz val="10"/>
        <color indexed="8"/>
        <rFont val="Arial"/>
        <family val="2"/>
      </rPr>
      <t xml:space="preserve">PP-LO </t>
    </r>
    <r>
      <rPr>
        <sz val="10"/>
        <color indexed="8"/>
        <rFont val="Arial"/>
        <family val="2"/>
      </rPr>
      <t>lysis on anoxic decay</t>
    </r>
  </si>
  <si>
    <r>
      <t>P</t>
    </r>
    <r>
      <rPr>
        <vertAlign val="subscript"/>
        <sz val="10"/>
        <color indexed="8"/>
        <rFont val="Arial"/>
        <family val="2"/>
      </rPr>
      <t xml:space="preserve">PP-HI </t>
    </r>
    <r>
      <rPr>
        <sz val="10"/>
        <color indexed="8"/>
        <rFont val="Arial"/>
        <family val="2"/>
      </rPr>
      <t>lysis on anoxic decay</t>
    </r>
  </si>
  <si>
    <r>
      <t>S</t>
    </r>
    <r>
      <rPr>
        <vertAlign val="subscript"/>
        <sz val="10"/>
        <color indexed="8"/>
        <rFont val="Arial"/>
        <family val="2"/>
      </rPr>
      <t xml:space="preserve">PHB </t>
    </r>
    <r>
      <rPr>
        <sz val="10"/>
        <color indexed="8"/>
        <rFont val="Arial"/>
        <family val="2"/>
      </rPr>
      <t>lysis on anoxic decay</t>
    </r>
  </si>
  <si>
    <r>
      <t>Anaerobic decay of Z</t>
    </r>
    <r>
      <rPr>
        <vertAlign val="subscript"/>
        <sz val="10"/>
        <color indexed="8"/>
        <rFont val="Arial"/>
        <family val="2"/>
      </rPr>
      <t>P</t>
    </r>
  </si>
  <si>
    <r>
      <t>P</t>
    </r>
    <r>
      <rPr>
        <vertAlign val="subscript"/>
        <sz val="10"/>
        <color indexed="8"/>
        <rFont val="Arial"/>
        <family val="2"/>
      </rPr>
      <t xml:space="preserve">PP-LO </t>
    </r>
    <r>
      <rPr>
        <sz val="10"/>
        <color indexed="8"/>
        <rFont val="Arial"/>
        <family val="2"/>
      </rPr>
      <t>lysis on anaerobic decay</t>
    </r>
  </si>
  <si>
    <r>
      <t>P</t>
    </r>
    <r>
      <rPr>
        <vertAlign val="subscript"/>
        <sz val="10"/>
        <color indexed="8"/>
        <rFont val="Arial"/>
        <family val="2"/>
      </rPr>
      <t xml:space="preserve">PP-HI </t>
    </r>
    <r>
      <rPr>
        <sz val="10"/>
        <color indexed="8"/>
        <rFont val="Arial"/>
        <family val="2"/>
      </rPr>
      <t>lysis on anaerobic decay</t>
    </r>
  </si>
  <si>
    <r>
      <t>S</t>
    </r>
    <r>
      <rPr>
        <vertAlign val="subscript"/>
        <sz val="10"/>
        <color indexed="8"/>
        <rFont val="Arial"/>
        <family val="2"/>
      </rPr>
      <t xml:space="preserve">PHB </t>
    </r>
    <r>
      <rPr>
        <sz val="10"/>
        <color indexed="8"/>
        <rFont val="Arial"/>
        <family val="2"/>
      </rPr>
      <t>lysis on anaerobic decay</t>
    </r>
  </si>
  <si>
    <r>
      <t>Sequestration of S</t>
    </r>
    <r>
      <rPr>
        <vertAlign val="subscript"/>
        <sz val="10"/>
        <color indexed="8"/>
        <rFont val="Arial"/>
        <family val="2"/>
      </rPr>
      <t>CFA</t>
    </r>
    <r>
      <rPr>
        <sz val="10"/>
        <color indexed="8"/>
        <rFont val="Arial"/>
        <family val="2"/>
      </rPr>
      <t xml:space="preserve"> by Z</t>
    </r>
    <r>
      <rPr>
        <vertAlign val="subscript"/>
        <sz val="10"/>
        <color indexed="8"/>
        <rFont val="Arial"/>
        <family val="2"/>
      </rPr>
      <t>P</t>
    </r>
  </si>
  <si>
    <r>
      <t>Aerobic growth of X</t>
    </r>
    <r>
      <rPr>
        <b/>
        <vertAlign val="subscript"/>
        <sz val="10"/>
        <color indexed="8"/>
        <rFont val="Arial"/>
        <family val="2"/>
      </rPr>
      <t xml:space="preserve">H </t>
    </r>
    <r>
      <rPr>
        <b/>
        <sz val="10"/>
        <color indexed="8"/>
        <rFont val="Arial"/>
        <family val="2"/>
      </rPr>
      <t>on S</t>
    </r>
    <r>
      <rPr>
        <b/>
        <vertAlign val="subscript"/>
        <sz val="10"/>
        <color indexed="8"/>
        <rFont val="Arial"/>
        <family val="2"/>
      </rPr>
      <t>A</t>
    </r>
    <r>
      <rPr>
        <b/>
        <sz val="10"/>
        <color indexed="8"/>
        <rFont val="Arial"/>
        <family val="2"/>
      </rPr>
      <t xml:space="preserve"> with S</t>
    </r>
    <r>
      <rPr>
        <b/>
        <vertAlign val="subscript"/>
        <sz val="10"/>
        <color indexed="8"/>
        <rFont val="Arial"/>
        <family val="2"/>
      </rPr>
      <t>NH4</t>
    </r>
  </si>
  <si>
    <r>
      <t>-(1-</t>
    </r>
    <r>
      <rPr>
        <i/>
        <sz val="12"/>
        <color indexed="8"/>
        <rFont val="Arial"/>
        <family val="2"/>
      </rPr>
      <t>Y</t>
    </r>
    <r>
      <rPr>
        <vertAlign val="subscript"/>
        <sz val="12"/>
        <color indexed="8"/>
        <rFont val="Arial"/>
        <family val="2"/>
      </rPr>
      <t>H1</t>
    </r>
    <r>
      <rPr>
        <sz val="12"/>
        <color indexed="8"/>
        <rFont val="Arial"/>
        <family val="2"/>
      </rPr>
      <t>)</t>
    </r>
    <r>
      <rPr>
        <i/>
        <sz val="12"/>
        <color indexed="8"/>
        <rFont val="Arial"/>
        <family val="2"/>
      </rPr>
      <t>/Y</t>
    </r>
    <r>
      <rPr>
        <vertAlign val="subscript"/>
        <sz val="12"/>
        <color indexed="8"/>
        <rFont val="Arial"/>
        <family val="2"/>
      </rPr>
      <t>H1</t>
    </r>
  </si>
  <si>
    <r>
      <t>-1/</t>
    </r>
    <r>
      <rPr>
        <i/>
        <sz val="12"/>
        <color indexed="8"/>
        <rFont val="Arial"/>
        <family val="2"/>
      </rPr>
      <t>Y</t>
    </r>
    <r>
      <rPr>
        <vertAlign val="subscript"/>
        <sz val="12"/>
        <color indexed="8"/>
        <rFont val="Arial"/>
        <family val="2"/>
      </rPr>
      <t>H1</t>
    </r>
  </si>
  <si>
    <r>
      <t>-</t>
    </r>
    <r>
      <rPr>
        <i/>
        <sz val="12"/>
        <color indexed="8"/>
        <rFont val="Arial"/>
        <family val="2"/>
      </rPr>
      <t>i</t>
    </r>
    <r>
      <rPr>
        <vertAlign val="subscript"/>
        <sz val="12"/>
        <color indexed="8"/>
        <rFont val="Arial"/>
        <family val="2"/>
      </rPr>
      <t>NBM</t>
    </r>
  </si>
  <si>
    <r>
      <t>-</t>
    </r>
    <r>
      <rPr>
        <i/>
        <sz val="12"/>
        <color indexed="8"/>
        <rFont val="Arial"/>
        <family val="2"/>
      </rPr>
      <t>i</t>
    </r>
    <r>
      <rPr>
        <vertAlign val="subscript"/>
        <sz val="12"/>
        <color indexed="8"/>
        <rFont val="Arial"/>
        <family val="2"/>
      </rPr>
      <t>PBM</t>
    </r>
  </si>
  <si>
    <r>
      <t>μ</t>
    </r>
    <r>
      <rPr>
        <vertAlign val="subscript"/>
        <sz val="12"/>
        <color indexed="8"/>
        <rFont val="Arial"/>
        <family val="2"/>
      </rPr>
      <t>H</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8"/>
        <rFont val="Arial"/>
        <family val="2"/>
      </rPr>
      <t>K</t>
    </r>
    <r>
      <rPr>
        <vertAlign val="subscript"/>
        <sz val="12"/>
        <color indexed="8"/>
        <rFont val="Arial"/>
        <family val="2"/>
      </rPr>
      <t>A</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A</t>
    </r>
    <r>
      <rPr>
        <sz val="12"/>
        <color indexed="10"/>
        <rFont val="Arial"/>
        <family val="2"/>
      </rPr>
      <t>/(</t>
    </r>
    <r>
      <rPr>
        <i/>
        <sz val="12"/>
        <color indexed="10"/>
        <rFont val="Arial"/>
        <family val="2"/>
      </rPr>
      <t>S</t>
    </r>
    <r>
      <rPr>
        <vertAlign val="subscript"/>
        <sz val="12"/>
        <color indexed="10"/>
        <rFont val="Arial"/>
        <family val="2"/>
      </rPr>
      <t>A</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PO4,gro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H</t>
    </r>
  </si>
  <si>
    <r>
      <t>Aerobic growth of X</t>
    </r>
    <r>
      <rPr>
        <b/>
        <vertAlign val="subscript"/>
        <sz val="10"/>
        <color indexed="8"/>
        <rFont val="Arial"/>
        <family val="2"/>
      </rPr>
      <t xml:space="preserve">H </t>
    </r>
    <r>
      <rPr>
        <b/>
        <sz val="10"/>
        <color indexed="8"/>
        <rFont val="Arial"/>
        <family val="2"/>
      </rPr>
      <t>on S</t>
    </r>
    <r>
      <rPr>
        <b/>
        <vertAlign val="subscript"/>
        <sz val="10"/>
        <color indexed="8"/>
        <rFont val="Arial"/>
        <family val="2"/>
      </rPr>
      <t>A</t>
    </r>
    <r>
      <rPr>
        <b/>
        <sz val="10"/>
        <color indexed="8"/>
        <rFont val="Arial"/>
        <family val="2"/>
      </rPr>
      <t xml:space="preserve"> with S</t>
    </r>
    <r>
      <rPr>
        <b/>
        <vertAlign val="subscript"/>
        <sz val="10"/>
        <color indexed="8"/>
        <rFont val="Arial"/>
        <family val="2"/>
      </rPr>
      <t>NO3</t>
    </r>
  </si>
  <si>
    <r>
      <t>-(1-</t>
    </r>
    <r>
      <rPr>
        <i/>
        <sz val="12"/>
        <color indexed="8"/>
        <rFont val="Arial"/>
        <family val="2"/>
      </rPr>
      <t>Y</t>
    </r>
    <r>
      <rPr>
        <vertAlign val="subscript"/>
        <sz val="12"/>
        <color indexed="8"/>
        <rFont val="Arial"/>
        <family val="2"/>
      </rPr>
      <t>H1</t>
    </r>
    <r>
      <rPr>
        <sz val="12"/>
        <color indexed="8"/>
        <rFont val="Arial"/>
        <family val="2"/>
      </rPr>
      <t>)/</t>
    </r>
    <r>
      <rPr>
        <i/>
        <sz val="12"/>
        <color indexed="8"/>
        <rFont val="Arial"/>
        <family val="2"/>
      </rPr>
      <t>Y</t>
    </r>
    <r>
      <rPr>
        <vertAlign val="subscript"/>
        <sz val="12"/>
        <color indexed="8"/>
        <rFont val="Arial"/>
        <family val="2"/>
      </rPr>
      <t>H1</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i</t>
    </r>
    <r>
      <rPr>
        <vertAlign val="subscript"/>
        <sz val="12"/>
        <color indexed="10"/>
        <rFont val="Arial"/>
        <family val="2"/>
      </rPr>
      <t>NBM</t>
    </r>
  </si>
  <si>
    <r>
      <t>μ</t>
    </r>
    <r>
      <rPr>
        <vertAlign val="subscript"/>
        <sz val="12"/>
        <color indexed="8"/>
        <rFont val="Arial"/>
        <family val="2"/>
      </rPr>
      <t>H</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8"/>
        <rFont val="Arial"/>
        <family val="2"/>
      </rPr>
      <t>K</t>
    </r>
    <r>
      <rPr>
        <vertAlign val="subscript"/>
        <sz val="12"/>
        <color indexed="8"/>
        <rFont val="Arial"/>
        <family val="2"/>
      </rPr>
      <t>A</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A</t>
    </r>
    <r>
      <rPr>
        <sz val="12"/>
        <color indexed="10"/>
        <rFont val="Arial"/>
        <family val="2"/>
      </rPr>
      <t>/(</t>
    </r>
    <r>
      <rPr>
        <i/>
        <sz val="12"/>
        <color indexed="10"/>
        <rFont val="Arial"/>
        <family val="2"/>
      </rPr>
      <t>S</t>
    </r>
    <r>
      <rPr>
        <vertAlign val="subscript"/>
        <sz val="12"/>
        <color indexed="10"/>
        <rFont val="Arial"/>
        <family val="2"/>
      </rPr>
      <t>A</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K</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PO4,gro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H</t>
    </r>
  </si>
  <si>
    <r>
      <t>Anoxic growth of X</t>
    </r>
    <r>
      <rPr>
        <b/>
        <vertAlign val="subscript"/>
        <sz val="10"/>
        <color indexed="8"/>
        <rFont val="Arial"/>
        <family val="2"/>
      </rPr>
      <t xml:space="preserve">H </t>
    </r>
    <r>
      <rPr>
        <b/>
        <sz val="10"/>
        <color indexed="8"/>
        <rFont val="Arial"/>
        <family val="2"/>
      </rPr>
      <t>on S</t>
    </r>
    <r>
      <rPr>
        <b/>
        <vertAlign val="subscript"/>
        <sz val="10"/>
        <color indexed="8"/>
        <rFont val="Arial"/>
        <family val="2"/>
      </rPr>
      <t>A</t>
    </r>
    <r>
      <rPr>
        <b/>
        <sz val="10"/>
        <color indexed="8"/>
        <rFont val="Arial"/>
        <family val="2"/>
      </rPr>
      <t xml:space="preserve"> with S</t>
    </r>
    <r>
      <rPr>
        <b/>
        <vertAlign val="subscript"/>
        <sz val="10"/>
        <color indexed="8"/>
        <rFont val="Arial"/>
        <family val="2"/>
      </rPr>
      <t>NH4</t>
    </r>
  </si>
  <si>
    <r>
      <t>-1/</t>
    </r>
    <r>
      <rPr>
        <i/>
        <sz val="12"/>
        <color indexed="8"/>
        <rFont val="Arial"/>
        <family val="2"/>
      </rPr>
      <t>Y</t>
    </r>
    <r>
      <rPr>
        <vertAlign val="subscript"/>
        <sz val="12"/>
        <color indexed="8"/>
        <rFont val="Arial"/>
        <family val="2"/>
      </rPr>
      <t>H2</t>
    </r>
  </si>
  <si>
    <r>
      <t>-(1-</t>
    </r>
    <r>
      <rPr>
        <i/>
        <sz val="12"/>
        <color indexed="8"/>
        <rFont val="Arial"/>
        <family val="2"/>
      </rPr>
      <t>Y</t>
    </r>
    <r>
      <rPr>
        <vertAlign val="subscript"/>
        <sz val="12"/>
        <color indexed="8"/>
        <rFont val="Arial"/>
        <family val="2"/>
      </rPr>
      <t>H2</t>
    </r>
    <r>
      <rPr>
        <sz val="12"/>
        <color indexed="8"/>
        <rFont val="Arial"/>
        <family val="2"/>
      </rPr>
      <t>)/(</t>
    </r>
    <r>
      <rPr>
        <i/>
        <sz val="12"/>
        <color indexed="8"/>
        <rFont val="Arial"/>
        <family val="2"/>
      </rPr>
      <t>i</t>
    </r>
    <r>
      <rPr>
        <vertAlign val="subscript"/>
        <sz val="12"/>
        <color indexed="8"/>
        <rFont val="Arial"/>
        <family val="2"/>
      </rPr>
      <t>NOx,N2</t>
    </r>
    <r>
      <rPr>
        <sz val="12"/>
        <color indexed="8"/>
        <rFont val="Arial"/>
        <family val="2"/>
      </rPr>
      <t>*</t>
    </r>
    <r>
      <rPr>
        <i/>
        <sz val="12"/>
        <color indexed="8"/>
        <rFont val="Arial"/>
        <family val="2"/>
      </rPr>
      <t>Y</t>
    </r>
    <r>
      <rPr>
        <vertAlign val="subscript"/>
        <sz val="12"/>
        <color indexed="8"/>
        <rFont val="Arial"/>
        <family val="2"/>
      </rPr>
      <t>H2</t>
    </r>
    <r>
      <rPr>
        <sz val="12"/>
        <color indexed="8"/>
        <rFont val="Arial"/>
        <family val="2"/>
      </rPr>
      <t>)</t>
    </r>
  </si>
  <si>
    <r>
      <t>(1-</t>
    </r>
    <r>
      <rPr>
        <i/>
        <sz val="12"/>
        <color indexed="10"/>
        <rFont val="Arial"/>
        <family val="2"/>
      </rPr>
      <t>Y</t>
    </r>
    <r>
      <rPr>
        <vertAlign val="subscript"/>
        <sz val="12"/>
        <color indexed="10"/>
        <rFont val="Arial"/>
        <family val="2"/>
      </rPr>
      <t>H2</t>
    </r>
    <r>
      <rPr>
        <sz val="12"/>
        <color indexed="10"/>
        <rFont val="Arial"/>
        <family val="2"/>
      </rPr>
      <t>)/(</t>
    </r>
    <r>
      <rPr>
        <i/>
        <sz val="12"/>
        <color indexed="10"/>
        <rFont val="Arial"/>
        <family val="2"/>
      </rPr>
      <t>i</t>
    </r>
    <r>
      <rPr>
        <vertAlign val="subscript"/>
        <sz val="12"/>
        <color indexed="10"/>
        <rFont val="Arial"/>
        <family val="2"/>
      </rPr>
      <t>NOx,N2</t>
    </r>
    <r>
      <rPr>
        <sz val="12"/>
        <color indexed="10"/>
        <rFont val="Arial"/>
        <family val="2"/>
      </rPr>
      <t>*</t>
    </r>
    <r>
      <rPr>
        <i/>
        <sz val="12"/>
        <color indexed="10"/>
        <rFont val="Arial"/>
        <family val="2"/>
      </rPr>
      <t>Y</t>
    </r>
    <r>
      <rPr>
        <vertAlign val="subscript"/>
        <sz val="12"/>
        <color indexed="10"/>
        <rFont val="Arial"/>
        <family val="2"/>
      </rPr>
      <t>H2</t>
    </r>
    <r>
      <rPr>
        <sz val="12"/>
        <color indexed="10"/>
        <rFont val="Arial"/>
        <family val="2"/>
      </rPr>
      <t>)</t>
    </r>
  </si>
  <si>
    <r>
      <t>μ</t>
    </r>
    <r>
      <rPr>
        <vertAlign val="subscript"/>
        <sz val="12"/>
        <color indexed="8"/>
        <rFont val="Arial"/>
        <family val="2"/>
      </rPr>
      <t>H</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8"/>
        <rFont val="Arial"/>
        <family val="2"/>
      </rPr>
      <t>K</t>
    </r>
    <r>
      <rPr>
        <vertAlign val="subscript"/>
        <sz val="12"/>
        <color indexed="8"/>
        <rFont val="Arial"/>
        <family val="2"/>
      </rPr>
      <t>A</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A</t>
    </r>
    <r>
      <rPr>
        <sz val="12"/>
        <color indexed="10"/>
        <rFont val="Arial"/>
        <family val="2"/>
      </rPr>
      <t>/(</t>
    </r>
    <r>
      <rPr>
        <i/>
        <sz val="12"/>
        <color indexed="10"/>
        <rFont val="Arial"/>
        <family val="2"/>
      </rPr>
      <t>S</t>
    </r>
    <r>
      <rPr>
        <vertAlign val="subscript"/>
        <sz val="12"/>
        <color indexed="10"/>
        <rFont val="Arial"/>
        <family val="2"/>
      </rPr>
      <t>A</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NO3</t>
    </r>
    <r>
      <rPr>
        <sz val="12"/>
        <color indexed="10"/>
        <rFont val="Arial"/>
        <family val="2"/>
      </rPr>
      <t>/(</t>
    </r>
    <r>
      <rPr>
        <i/>
        <sz val="12"/>
        <color indexed="10"/>
        <rFont val="Arial"/>
        <family val="2"/>
      </rPr>
      <t>K</t>
    </r>
    <r>
      <rPr>
        <vertAlign val="subscript"/>
        <sz val="12"/>
        <color indexed="10"/>
        <rFont val="Arial"/>
        <family val="2"/>
      </rPr>
      <t>NO3</t>
    </r>
    <r>
      <rPr>
        <sz val="12"/>
        <color indexed="10"/>
        <rFont val="Arial"/>
        <family val="2"/>
      </rPr>
      <t>+</t>
    </r>
    <r>
      <rPr>
        <i/>
        <sz val="12"/>
        <color indexed="10"/>
        <rFont val="Arial"/>
        <family val="2"/>
      </rPr>
      <t>S</t>
    </r>
    <r>
      <rPr>
        <vertAlign val="subscript"/>
        <sz val="12"/>
        <color indexed="10"/>
        <rFont val="Arial"/>
        <family val="2"/>
      </rPr>
      <t>NO3</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PO4,gro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H</t>
    </r>
  </si>
  <si>
    <r>
      <t>Anoxic growth of X</t>
    </r>
    <r>
      <rPr>
        <b/>
        <vertAlign val="subscript"/>
        <sz val="10"/>
        <color indexed="8"/>
        <rFont val="Arial"/>
        <family val="2"/>
      </rPr>
      <t xml:space="preserve">H </t>
    </r>
    <r>
      <rPr>
        <b/>
        <sz val="10"/>
        <color indexed="8"/>
        <rFont val="Arial"/>
        <family val="2"/>
      </rPr>
      <t>on S</t>
    </r>
    <r>
      <rPr>
        <b/>
        <vertAlign val="subscript"/>
        <sz val="10"/>
        <color indexed="8"/>
        <rFont val="Arial"/>
        <family val="2"/>
      </rPr>
      <t>A</t>
    </r>
    <r>
      <rPr>
        <b/>
        <sz val="10"/>
        <color indexed="8"/>
        <rFont val="Arial"/>
        <family val="2"/>
      </rPr>
      <t xml:space="preserve"> with S</t>
    </r>
    <r>
      <rPr>
        <b/>
        <vertAlign val="subscript"/>
        <sz val="10"/>
        <color indexed="8"/>
        <rFont val="Arial"/>
        <family val="2"/>
      </rPr>
      <t>NO3</t>
    </r>
  </si>
  <si>
    <r>
      <t>-1/</t>
    </r>
    <r>
      <rPr>
        <i/>
        <sz val="12"/>
        <color indexed="8"/>
        <rFont val="Arial"/>
        <family val="2"/>
      </rPr>
      <t>Y</t>
    </r>
    <r>
      <rPr>
        <vertAlign val="subscript"/>
        <sz val="12"/>
        <color indexed="8"/>
        <rFont val="Arial"/>
        <family val="2"/>
      </rPr>
      <t>H2</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i</t>
    </r>
    <r>
      <rPr>
        <vertAlign val="subscript"/>
        <sz val="12"/>
        <color indexed="10"/>
        <rFont val="Arial"/>
        <family val="2"/>
      </rPr>
      <t>NBM</t>
    </r>
  </si>
  <si>
    <r>
      <t>-</t>
    </r>
    <r>
      <rPr>
        <i/>
        <sz val="12"/>
        <color indexed="8"/>
        <rFont val="Arial"/>
        <family val="2"/>
      </rPr>
      <t>i</t>
    </r>
    <r>
      <rPr>
        <vertAlign val="subscript"/>
        <sz val="12"/>
        <color indexed="8"/>
        <rFont val="Arial"/>
        <family val="2"/>
      </rPr>
      <t>NBM</t>
    </r>
    <r>
      <rPr>
        <sz val="12"/>
        <color indexed="8"/>
        <rFont val="Arial"/>
        <family val="2"/>
      </rPr>
      <t>-(1-</t>
    </r>
    <r>
      <rPr>
        <i/>
        <sz val="12"/>
        <color indexed="8"/>
        <rFont val="Arial"/>
        <family val="2"/>
      </rPr>
      <t>Y</t>
    </r>
    <r>
      <rPr>
        <vertAlign val="subscript"/>
        <sz val="12"/>
        <color indexed="8"/>
        <rFont val="Arial"/>
        <family val="2"/>
      </rPr>
      <t>H2</t>
    </r>
    <r>
      <rPr>
        <sz val="12"/>
        <color indexed="8"/>
        <rFont val="Arial"/>
        <family val="2"/>
      </rPr>
      <t>)/(</t>
    </r>
    <r>
      <rPr>
        <i/>
        <sz val="12"/>
        <color indexed="8"/>
        <rFont val="Arial"/>
        <family val="2"/>
      </rPr>
      <t>i</t>
    </r>
    <r>
      <rPr>
        <vertAlign val="subscript"/>
        <sz val="12"/>
        <color indexed="8"/>
        <rFont val="Arial"/>
        <family val="2"/>
      </rPr>
      <t>NOx,N2</t>
    </r>
    <r>
      <rPr>
        <sz val="12"/>
        <color indexed="8"/>
        <rFont val="Arial"/>
        <family val="2"/>
      </rPr>
      <t>*</t>
    </r>
    <r>
      <rPr>
        <i/>
        <sz val="12"/>
        <color indexed="8"/>
        <rFont val="Arial"/>
        <family val="2"/>
      </rPr>
      <t>Y</t>
    </r>
    <r>
      <rPr>
        <vertAlign val="subscript"/>
        <sz val="12"/>
        <color indexed="8"/>
        <rFont val="Arial"/>
        <family val="2"/>
      </rPr>
      <t>H2</t>
    </r>
    <r>
      <rPr>
        <sz val="12"/>
        <color indexed="8"/>
        <rFont val="Arial"/>
        <family val="2"/>
      </rPr>
      <t>)</t>
    </r>
  </si>
  <si>
    <r>
      <t>μ</t>
    </r>
    <r>
      <rPr>
        <vertAlign val="subscript"/>
        <sz val="12"/>
        <color indexed="8"/>
        <rFont val="Arial"/>
        <family val="2"/>
      </rPr>
      <t>H</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8"/>
        <rFont val="Arial"/>
        <family val="2"/>
      </rPr>
      <t>K</t>
    </r>
    <r>
      <rPr>
        <vertAlign val="subscript"/>
        <sz val="12"/>
        <color indexed="8"/>
        <rFont val="Arial"/>
        <family val="2"/>
      </rPr>
      <t>A</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A</t>
    </r>
    <r>
      <rPr>
        <sz val="12"/>
        <color indexed="10"/>
        <rFont val="Arial"/>
        <family val="2"/>
      </rPr>
      <t>/(</t>
    </r>
    <r>
      <rPr>
        <i/>
        <sz val="12"/>
        <color indexed="10"/>
        <rFont val="Arial"/>
        <family val="2"/>
      </rPr>
      <t>S</t>
    </r>
    <r>
      <rPr>
        <vertAlign val="subscript"/>
        <sz val="12"/>
        <color indexed="10"/>
        <rFont val="Arial"/>
        <family val="2"/>
      </rPr>
      <t>A</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K</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PO4,gro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H</t>
    </r>
  </si>
  <si>
    <r>
      <t>Aerobic growth of X</t>
    </r>
    <r>
      <rPr>
        <b/>
        <vertAlign val="subscript"/>
        <sz val="10"/>
        <color indexed="8"/>
        <rFont val="Arial"/>
        <family val="2"/>
      </rPr>
      <t xml:space="preserve">H </t>
    </r>
    <r>
      <rPr>
        <b/>
        <sz val="10"/>
        <color indexed="8"/>
        <rFont val="Arial"/>
        <family val="2"/>
      </rPr>
      <t>on S</t>
    </r>
    <r>
      <rPr>
        <b/>
        <vertAlign val="subscript"/>
        <sz val="10"/>
        <color indexed="8"/>
        <rFont val="Arial"/>
        <family val="2"/>
      </rPr>
      <t>F</t>
    </r>
    <r>
      <rPr>
        <b/>
        <sz val="10"/>
        <color indexed="8"/>
        <rFont val="Arial"/>
        <family val="2"/>
      </rPr>
      <t xml:space="preserve"> with S</t>
    </r>
    <r>
      <rPr>
        <b/>
        <vertAlign val="subscript"/>
        <sz val="10"/>
        <color indexed="8"/>
        <rFont val="Arial"/>
        <family val="2"/>
      </rPr>
      <t>NH4</t>
    </r>
  </si>
  <si>
    <r>
      <t>-</t>
    </r>
    <r>
      <rPr>
        <i/>
        <sz val="12"/>
        <color indexed="8"/>
        <rFont val="Arial"/>
        <family val="2"/>
      </rPr>
      <t>i</t>
    </r>
    <r>
      <rPr>
        <vertAlign val="subscript"/>
        <sz val="12"/>
        <color indexed="8"/>
        <rFont val="Arial"/>
        <family val="2"/>
      </rPr>
      <t>NBM</t>
    </r>
    <r>
      <rPr>
        <i/>
        <sz val="12"/>
        <color indexed="8"/>
        <rFont val="Arial"/>
        <family val="2"/>
      </rPr>
      <t>+i</t>
    </r>
    <r>
      <rPr>
        <vertAlign val="subscript"/>
        <sz val="12"/>
        <color indexed="8"/>
        <rFont val="Arial"/>
        <family val="2"/>
      </rPr>
      <t>NSF</t>
    </r>
    <r>
      <rPr>
        <sz val="12"/>
        <color indexed="8"/>
        <rFont val="Arial"/>
        <family val="2"/>
      </rPr>
      <t>/</t>
    </r>
    <r>
      <rPr>
        <i/>
        <sz val="12"/>
        <color indexed="8"/>
        <rFont val="Arial"/>
        <family val="2"/>
      </rPr>
      <t>Y</t>
    </r>
    <r>
      <rPr>
        <vertAlign val="subscript"/>
        <sz val="12"/>
        <color indexed="8"/>
        <rFont val="Arial"/>
        <family val="2"/>
      </rPr>
      <t>H1</t>
    </r>
  </si>
  <si>
    <r>
      <t>-</t>
    </r>
    <r>
      <rPr>
        <i/>
        <sz val="12"/>
        <color indexed="8"/>
        <rFont val="Arial"/>
        <family val="2"/>
      </rPr>
      <t>i</t>
    </r>
    <r>
      <rPr>
        <vertAlign val="subscript"/>
        <sz val="12"/>
        <color indexed="8"/>
        <rFont val="Arial"/>
        <family val="2"/>
      </rPr>
      <t>PBM</t>
    </r>
    <r>
      <rPr>
        <i/>
        <sz val="12"/>
        <color indexed="10"/>
        <rFont val="Arial"/>
        <family val="2"/>
      </rPr>
      <t>+i</t>
    </r>
    <r>
      <rPr>
        <vertAlign val="subscript"/>
        <sz val="12"/>
        <color indexed="10"/>
        <rFont val="Arial"/>
        <family val="2"/>
      </rPr>
      <t>PSF</t>
    </r>
    <r>
      <rPr>
        <sz val="12"/>
        <color indexed="10"/>
        <rFont val="Arial"/>
        <family val="2"/>
      </rPr>
      <t>/</t>
    </r>
    <r>
      <rPr>
        <i/>
        <sz val="12"/>
        <color indexed="10"/>
        <rFont val="Arial"/>
        <family val="2"/>
      </rPr>
      <t>Y</t>
    </r>
    <r>
      <rPr>
        <vertAlign val="subscript"/>
        <sz val="12"/>
        <color indexed="10"/>
        <rFont val="Arial"/>
        <family val="2"/>
      </rPr>
      <t>H1</t>
    </r>
  </si>
  <si>
    <r>
      <t>μ</t>
    </r>
    <r>
      <rPr>
        <vertAlign val="subscript"/>
        <sz val="12"/>
        <color indexed="8"/>
        <rFont val="Arial"/>
        <family val="2"/>
      </rPr>
      <t>H</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A</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PO4,gro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H</t>
    </r>
  </si>
  <si>
    <r>
      <t>Aerobic growth of X</t>
    </r>
    <r>
      <rPr>
        <b/>
        <vertAlign val="subscript"/>
        <sz val="10"/>
        <color indexed="8"/>
        <rFont val="Arial"/>
        <family val="2"/>
      </rPr>
      <t xml:space="preserve">H </t>
    </r>
    <r>
      <rPr>
        <b/>
        <sz val="10"/>
        <color indexed="8"/>
        <rFont val="Arial"/>
        <family val="2"/>
      </rPr>
      <t>on S</t>
    </r>
    <r>
      <rPr>
        <b/>
        <vertAlign val="subscript"/>
        <sz val="10"/>
        <color indexed="8"/>
        <rFont val="Arial"/>
        <family val="2"/>
      </rPr>
      <t>F</t>
    </r>
    <r>
      <rPr>
        <b/>
        <sz val="10"/>
        <color indexed="8"/>
        <rFont val="Arial"/>
        <family val="2"/>
      </rPr>
      <t xml:space="preserve"> with S</t>
    </r>
    <r>
      <rPr>
        <b/>
        <vertAlign val="subscript"/>
        <sz val="10"/>
        <color indexed="8"/>
        <rFont val="Arial"/>
        <family val="2"/>
      </rPr>
      <t>NO3</t>
    </r>
  </si>
  <si>
    <r>
      <t>i</t>
    </r>
    <r>
      <rPr>
        <vertAlign val="subscript"/>
        <sz val="12"/>
        <color indexed="8"/>
        <rFont val="Arial"/>
        <family val="2"/>
      </rPr>
      <t>NSF</t>
    </r>
    <r>
      <rPr>
        <i/>
        <sz val="12"/>
        <color indexed="8"/>
        <rFont val="Arial"/>
        <family val="2"/>
      </rPr>
      <t>/Y</t>
    </r>
    <r>
      <rPr>
        <vertAlign val="subscript"/>
        <sz val="12"/>
        <color indexed="8"/>
        <rFont val="Arial"/>
        <family val="2"/>
      </rPr>
      <t>H1</t>
    </r>
  </si>
  <si>
    <r>
      <t>μ</t>
    </r>
    <r>
      <rPr>
        <vertAlign val="subscript"/>
        <sz val="12"/>
        <color indexed="8"/>
        <rFont val="Arial"/>
        <family val="2"/>
      </rPr>
      <t>H</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A</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K</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PO4,gro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H</t>
    </r>
  </si>
  <si>
    <r>
      <t>Anoxic growth of X</t>
    </r>
    <r>
      <rPr>
        <b/>
        <vertAlign val="subscript"/>
        <sz val="10"/>
        <color indexed="8"/>
        <rFont val="Arial"/>
        <family val="2"/>
      </rPr>
      <t xml:space="preserve">H </t>
    </r>
    <r>
      <rPr>
        <b/>
        <sz val="10"/>
        <color indexed="8"/>
        <rFont val="Arial"/>
        <family val="2"/>
      </rPr>
      <t>on S</t>
    </r>
    <r>
      <rPr>
        <b/>
        <vertAlign val="subscript"/>
        <sz val="10"/>
        <color indexed="8"/>
        <rFont val="Arial"/>
        <family val="2"/>
      </rPr>
      <t>F</t>
    </r>
    <r>
      <rPr>
        <b/>
        <sz val="10"/>
        <color indexed="8"/>
        <rFont val="Arial"/>
        <family val="2"/>
      </rPr>
      <t xml:space="preserve"> with S</t>
    </r>
    <r>
      <rPr>
        <b/>
        <vertAlign val="subscript"/>
        <sz val="10"/>
        <color indexed="8"/>
        <rFont val="Arial"/>
        <family val="2"/>
      </rPr>
      <t>NH4</t>
    </r>
  </si>
  <si>
    <r>
      <t>-</t>
    </r>
    <r>
      <rPr>
        <i/>
        <sz val="12"/>
        <color indexed="8"/>
        <rFont val="Arial"/>
        <family val="2"/>
      </rPr>
      <t>i</t>
    </r>
    <r>
      <rPr>
        <vertAlign val="subscript"/>
        <sz val="12"/>
        <color indexed="8"/>
        <rFont val="Arial"/>
        <family val="2"/>
      </rPr>
      <t>NBM</t>
    </r>
    <r>
      <rPr>
        <i/>
        <sz val="12"/>
        <color indexed="8"/>
        <rFont val="Arial"/>
        <family val="2"/>
      </rPr>
      <t>+i</t>
    </r>
    <r>
      <rPr>
        <vertAlign val="subscript"/>
        <sz val="12"/>
        <color indexed="8"/>
        <rFont val="Arial"/>
        <family val="2"/>
      </rPr>
      <t>NSF</t>
    </r>
    <r>
      <rPr>
        <sz val="12"/>
        <color indexed="8"/>
        <rFont val="Arial"/>
        <family val="2"/>
      </rPr>
      <t>/</t>
    </r>
    <r>
      <rPr>
        <i/>
        <sz val="12"/>
        <color indexed="8"/>
        <rFont val="Arial"/>
        <family val="2"/>
      </rPr>
      <t>Y</t>
    </r>
    <r>
      <rPr>
        <vertAlign val="subscript"/>
        <sz val="12"/>
        <color indexed="8"/>
        <rFont val="Arial"/>
        <family val="2"/>
      </rPr>
      <t>H2</t>
    </r>
  </si>
  <si>
    <r>
      <t>-</t>
    </r>
    <r>
      <rPr>
        <i/>
        <sz val="12"/>
        <color indexed="8"/>
        <rFont val="Arial"/>
        <family val="2"/>
      </rPr>
      <t>i</t>
    </r>
    <r>
      <rPr>
        <vertAlign val="subscript"/>
        <sz val="12"/>
        <color indexed="8"/>
        <rFont val="Arial"/>
        <family val="2"/>
      </rPr>
      <t>PBM</t>
    </r>
    <r>
      <rPr>
        <i/>
        <sz val="12"/>
        <color indexed="10"/>
        <rFont val="Arial"/>
        <family val="2"/>
      </rPr>
      <t>+i</t>
    </r>
    <r>
      <rPr>
        <vertAlign val="subscript"/>
        <sz val="12"/>
        <color indexed="10"/>
        <rFont val="Arial"/>
        <family val="2"/>
      </rPr>
      <t>PSF</t>
    </r>
    <r>
      <rPr>
        <sz val="12"/>
        <color indexed="10"/>
        <rFont val="Arial"/>
        <family val="2"/>
      </rPr>
      <t>/</t>
    </r>
    <r>
      <rPr>
        <i/>
        <sz val="12"/>
        <color indexed="10"/>
        <rFont val="Arial"/>
        <family val="2"/>
      </rPr>
      <t>Y</t>
    </r>
    <r>
      <rPr>
        <vertAlign val="subscript"/>
        <sz val="12"/>
        <color indexed="10"/>
        <rFont val="Arial"/>
        <family val="2"/>
      </rPr>
      <t>H2</t>
    </r>
  </si>
  <si>
    <r>
      <t>μ</t>
    </r>
    <r>
      <rPr>
        <vertAlign val="subscript"/>
        <sz val="12"/>
        <color indexed="8"/>
        <rFont val="Arial"/>
        <family val="2"/>
      </rPr>
      <t>H</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A</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NO3</t>
    </r>
    <r>
      <rPr>
        <sz val="12"/>
        <color indexed="10"/>
        <rFont val="Arial"/>
        <family val="2"/>
      </rPr>
      <t>/(</t>
    </r>
    <r>
      <rPr>
        <i/>
        <sz val="12"/>
        <color indexed="10"/>
        <rFont val="Arial"/>
        <family val="2"/>
      </rPr>
      <t>K</t>
    </r>
    <r>
      <rPr>
        <vertAlign val="subscript"/>
        <sz val="12"/>
        <color indexed="10"/>
        <rFont val="Arial"/>
        <family val="2"/>
      </rPr>
      <t>NO3</t>
    </r>
    <r>
      <rPr>
        <sz val="12"/>
        <color indexed="10"/>
        <rFont val="Arial"/>
        <family val="2"/>
      </rPr>
      <t>+</t>
    </r>
    <r>
      <rPr>
        <i/>
        <sz val="12"/>
        <color indexed="10"/>
        <rFont val="Arial"/>
        <family val="2"/>
      </rPr>
      <t>S</t>
    </r>
    <r>
      <rPr>
        <vertAlign val="subscript"/>
        <sz val="12"/>
        <color indexed="10"/>
        <rFont val="Arial"/>
        <family val="2"/>
      </rPr>
      <t>NO3</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PO4,gro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H</t>
    </r>
  </si>
  <si>
    <r>
      <t>Anoxic growth of X</t>
    </r>
    <r>
      <rPr>
        <b/>
        <vertAlign val="subscript"/>
        <sz val="10"/>
        <color indexed="8"/>
        <rFont val="Arial"/>
        <family val="2"/>
      </rPr>
      <t xml:space="preserve">H </t>
    </r>
    <r>
      <rPr>
        <b/>
        <sz val="10"/>
        <color indexed="8"/>
        <rFont val="Arial"/>
        <family val="2"/>
      </rPr>
      <t>on S</t>
    </r>
    <r>
      <rPr>
        <b/>
        <vertAlign val="subscript"/>
        <sz val="10"/>
        <color indexed="8"/>
        <rFont val="Arial"/>
        <family val="2"/>
      </rPr>
      <t>F</t>
    </r>
    <r>
      <rPr>
        <b/>
        <sz val="10"/>
        <color indexed="8"/>
        <rFont val="Arial"/>
        <family val="2"/>
      </rPr>
      <t xml:space="preserve"> with S</t>
    </r>
    <r>
      <rPr>
        <b/>
        <vertAlign val="subscript"/>
        <sz val="10"/>
        <color indexed="8"/>
        <rFont val="Arial"/>
        <family val="2"/>
      </rPr>
      <t>NO3</t>
    </r>
  </si>
  <si>
    <r>
      <t>i</t>
    </r>
    <r>
      <rPr>
        <vertAlign val="subscript"/>
        <sz val="12"/>
        <color indexed="8"/>
        <rFont val="Arial"/>
        <family val="2"/>
      </rPr>
      <t>NSF</t>
    </r>
    <r>
      <rPr>
        <i/>
        <sz val="12"/>
        <color indexed="8"/>
        <rFont val="Arial"/>
        <family val="2"/>
      </rPr>
      <t>/Y</t>
    </r>
    <r>
      <rPr>
        <vertAlign val="subscript"/>
        <sz val="12"/>
        <color indexed="8"/>
        <rFont val="Arial"/>
        <family val="2"/>
      </rPr>
      <t>H2</t>
    </r>
    <r>
      <rPr>
        <i/>
        <sz val="12"/>
        <color indexed="10"/>
        <rFont val="Arial"/>
        <family val="2"/>
      </rPr>
      <t>-i</t>
    </r>
    <r>
      <rPr>
        <vertAlign val="subscript"/>
        <sz val="12"/>
        <color indexed="10"/>
        <rFont val="Arial"/>
        <family val="2"/>
      </rPr>
      <t>COD_NOx</t>
    </r>
    <r>
      <rPr>
        <i/>
        <sz val="12"/>
        <color indexed="10"/>
        <rFont val="Arial"/>
        <family val="2"/>
      </rPr>
      <t>*i</t>
    </r>
    <r>
      <rPr>
        <vertAlign val="subscript"/>
        <sz val="12"/>
        <color indexed="10"/>
        <rFont val="Arial"/>
        <family val="2"/>
      </rPr>
      <t>NBM</t>
    </r>
    <r>
      <rPr>
        <i/>
        <sz val="12"/>
        <color indexed="10"/>
        <rFont val="Arial"/>
        <family val="2"/>
      </rPr>
      <t>*i</t>
    </r>
    <r>
      <rPr>
        <vertAlign val="subscript"/>
        <sz val="12"/>
        <color indexed="10"/>
        <rFont val="Arial"/>
        <family val="2"/>
      </rPr>
      <t>NSF</t>
    </r>
  </si>
  <si>
    <r>
      <t>-</t>
    </r>
    <r>
      <rPr>
        <i/>
        <sz val="12"/>
        <color indexed="8"/>
        <rFont val="Arial"/>
        <family val="2"/>
      </rPr>
      <t>i</t>
    </r>
    <r>
      <rPr>
        <vertAlign val="subscript"/>
        <sz val="12"/>
        <color indexed="8"/>
        <rFont val="Arial"/>
        <family val="2"/>
      </rPr>
      <t>PBM</t>
    </r>
    <r>
      <rPr>
        <sz val="12"/>
        <color indexed="10"/>
        <rFont val="Arial"/>
        <family val="2"/>
      </rPr>
      <t>+</t>
    </r>
    <r>
      <rPr>
        <i/>
        <sz val="12"/>
        <color indexed="10"/>
        <rFont val="Arial"/>
        <family val="2"/>
      </rPr>
      <t>i</t>
    </r>
    <r>
      <rPr>
        <vertAlign val="subscript"/>
        <sz val="12"/>
        <color indexed="10"/>
        <rFont val="Arial"/>
        <family val="2"/>
      </rPr>
      <t>PSF</t>
    </r>
    <r>
      <rPr>
        <sz val="12"/>
        <color indexed="10"/>
        <rFont val="Arial"/>
        <family val="2"/>
      </rPr>
      <t>/</t>
    </r>
    <r>
      <rPr>
        <i/>
        <sz val="12"/>
        <color indexed="10"/>
        <rFont val="Arial"/>
        <family val="2"/>
      </rPr>
      <t>Y</t>
    </r>
    <r>
      <rPr>
        <vertAlign val="subscript"/>
        <sz val="12"/>
        <color indexed="10"/>
        <rFont val="Arial"/>
        <family val="2"/>
      </rPr>
      <t>H2</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i</t>
    </r>
    <r>
      <rPr>
        <vertAlign val="subscript"/>
        <sz val="12"/>
        <color indexed="10"/>
        <rFont val="Arial"/>
        <family val="2"/>
      </rPr>
      <t>NBM</t>
    </r>
    <r>
      <rPr>
        <sz val="12"/>
        <color indexed="10"/>
        <rFont val="Arial"/>
        <family val="2"/>
      </rPr>
      <t>*</t>
    </r>
    <r>
      <rPr>
        <i/>
        <sz val="12"/>
        <color indexed="10"/>
        <rFont val="Arial"/>
        <family val="2"/>
      </rPr>
      <t>i</t>
    </r>
    <r>
      <rPr>
        <vertAlign val="subscript"/>
        <sz val="12"/>
        <color indexed="10"/>
        <rFont val="Arial"/>
        <family val="2"/>
      </rPr>
      <t>PSF</t>
    </r>
  </si>
  <si>
    <r>
      <t>μ</t>
    </r>
    <r>
      <rPr>
        <vertAlign val="subscript"/>
        <sz val="12"/>
        <color indexed="8"/>
        <rFont val="Arial"/>
        <family val="2"/>
      </rPr>
      <t>H</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S</t>
    </r>
    <r>
      <rPr>
        <vertAlign val="subscript"/>
        <sz val="12"/>
        <color indexed="10"/>
        <rFont val="Arial"/>
        <family val="2"/>
      </rPr>
      <t>A</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K</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PO4,gro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H</t>
    </r>
  </si>
  <si>
    <r>
      <t>Aerobic growth of X</t>
    </r>
    <r>
      <rPr>
        <b/>
        <vertAlign val="subscript"/>
        <sz val="10"/>
        <color indexed="8"/>
        <rFont val="Arial"/>
        <family val="2"/>
      </rPr>
      <t xml:space="preserve">H </t>
    </r>
    <r>
      <rPr>
        <b/>
        <sz val="10"/>
        <color indexed="8"/>
        <rFont val="Arial"/>
        <family val="2"/>
      </rPr>
      <t>on X</t>
    </r>
    <r>
      <rPr>
        <b/>
        <vertAlign val="subscript"/>
        <sz val="10"/>
        <color indexed="8"/>
        <rFont val="Arial"/>
        <family val="2"/>
      </rPr>
      <t>ADS</t>
    </r>
    <r>
      <rPr>
        <b/>
        <sz val="10"/>
        <color indexed="8"/>
        <rFont val="Arial"/>
        <family val="2"/>
      </rPr>
      <t xml:space="preserve"> with S</t>
    </r>
    <r>
      <rPr>
        <b/>
        <vertAlign val="subscript"/>
        <sz val="10"/>
        <color indexed="8"/>
        <rFont val="Arial"/>
        <family val="2"/>
      </rPr>
      <t>NH4</t>
    </r>
  </si>
  <si>
    <r>
      <t>-</t>
    </r>
    <r>
      <rPr>
        <i/>
        <sz val="12"/>
        <color indexed="8"/>
        <rFont val="Arial"/>
        <family val="2"/>
      </rPr>
      <t>i</t>
    </r>
    <r>
      <rPr>
        <vertAlign val="subscript"/>
        <sz val="12"/>
        <color indexed="8"/>
        <rFont val="Arial"/>
        <family val="2"/>
      </rPr>
      <t>NBM</t>
    </r>
    <r>
      <rPr>
        <i/>
        <sz val="12"/>
        <color indexed="8"/>
        <rFont val="Arial"/>
        <family val="2"/>
      </rPr>
      <t>+i</t>
    </r>
    <r>
      <rPr>
        <vertAlign val="subscript"/>
        <sz val="12"/>
        <color indexed="8"/>
        <rFont val="Arial"/>
        <family val="2"/>
      </rPr>
      <t>NENM</t>
    </r>
    <r>
      <rPr>
        <sz val="12"/>
        <color indexed="8"/>
        <rFont val="Arial"/>
        <family val="2"/>
      </rPr>
      <t>/</t>
    </r>
    <r>
      <rPr>
        <i/>
        <sz val="12"/>
        <color indexed="8"/>
        <rFont val="Arial"/>
        <family val="2"/>
      </rPr>
      <t>Y</t>
    </r>
    <r>
      <rPr>
        <vertAlign val="subscript"/>
        <sz val="12"/>
        <color indexed="8"/>
        <rFont val="Arial"/>
        <family val="2"/>
      </rPr>
      <t>H1</t>
    </r>
  </si>
  <si>
    <r>
      <t>-</t>
    </r>
    <r>
      <rPr>
        <i/>
        <sz val="12"/>
        <color indexed="8"/>
        <rFont val="Arial"/>
        <family val="2"/>
      </rPr>
      <t>i</t>
    </r>
    <r>
      <rPr>
        <vertAlign val="subscript"/>
        <sz val="12"/>
        <color indexed="8"/>
        <rFont val="Arial"/>
        <family val="2"/>
      </rPr>
      <t>PBM</t>
    </r>
    <r>
      <rPr>
        <i/>
        <sz val="12"/>
        <color indexed="10"/>
        <rFont val="Arial"/>
        <family val="2"/>
      </rPr>
      <t>+i</t>
    </r>
    <r>
      <rPr>
        <vertAlign val="subscript"/>
        <sz val="12"/>
        <color indexed="10"/>
        <rFont val="Arial"/>
        <family val="2"/>
      </rPr>
      <t>PENM</t>
    </r>
    <r>
      <rPr>
        <sz val="12"/>
        <color indexed="10"/>
        <rFont val="Arial"/>
        <family val="2"/>
      </rPr>
      <t>/</t>
    </r>
    <r>
      <rPr>
        <i/>
        <sz val="12"/>
        <color indexed="10"/>
        <rFont val="Arial"/>
        <family val="2"/>
      </rPr>
      <t>Y</t>
    </r>
    <r>
      <rPr>
        <vertAlign val="subscript"/>
        <sz val="12"/>
        <color indexed="10"/>
        <rFont val="Arial"/>
        <family val="2"/>
      </rPr>
      <t>H1</t>
    </r>
  </si>
  <si>
    <r>
      <t>K</t>
    </r>
    <r>
      <rPr>
        <vertAlign val="subscript"/>
        <sz val="12"/>
        <color indexed="8"/>
        <rFont val="Arial"/>
        <family val="2"/>
      </rPr>
      <t>MP</t>
    </r>
    <r>
      <rPr>
        <sz val="12"/>
        <color indexed="8"/>
        <rFont val="Arial"/>
        <family val="2"/>
      </rPr>
      <t>*[(</t>
    </r>
    <r>
      <rPr>
        <i/>
        <sz val="12"/>
        <color indexed="8"/>
        <rFont val="Arial"/>
        <family val="2"/>
      </rPr>
      <t>X</t>
    </r>
    <r>
      <rPr>
        <vertAlign val="subscript"/>
        <sz val="12"/>
        <color indexed="8"/>
        <rFont val="Arial"/>
        <family val="2"/>
      </rPr>
      <t>ADS</t>
    </r>
    <r>
      <rPr>
        <sz val="12"/>
        <color indexed="8"/>
        <rFont val="Arial"/>
        <family val="2"/>
      </rPr>
      <t>/</t>
    </r>
    <r>
      <rPr>
        <i/>
        <sz val="12"/>
        <color indexed="8"/>
        <rFont val="Arial"/>
        <family val="2"/>
      </rPr>
      <t>X</t>
    </r>
    <r>
      <rPr>
        <vertAlign val="subscript"/>
        <sz val="12"/>
        <color indexed="8"/>
        <rFont val="Arial"/>
        <family val="2"/>
      </rPr>
      <t>H</t>
    </r>
    <r>
      <rPr>
        <sz val="12"/>
        <color indexed="8"/>
        <rFont val="Arial"/>
        <family val="2"/>
      </rPr>
      <t>)/(</t>
    </r>
    <r>
      <rPr>
        <i/>
        <sz val="12"/>
        <color indexed="8"/>
        <rFont val="Arial"/>
        <family val="2"/>
      </rPr>
      <t>K</t>
    </r>
    <r>
      <rPr>
        <vertAlign val="subscript"/>
        <sz val="12"/>
        <color indexed="8"/>
        <rFont val="Arial"/>
        <family val="2"/>
      </rPr>
      <t>SP</t>
    </r>
    <r>
      <rPr>
        <sz val="12"/>
        <color indexed="8"/>
        <rFont val="Arial"/>
        <family val="2"/>
      </rPr>
      <t>+(</t>
    </r>
    <r>
      <rPr>
        <i/>
        <sz val="12"/>
        <color indexed="8"/>
        <rFont val="Arial"/>
        <family val="2"/>
      </rPr>
      <t>X</t>
    </r>
    <r>
      <rPr>
        <vertAlign val="subscript"/>
        <sz val="12"/>
        <color indexed="8"/>
        <rFont val="Arial"/>
        <family val="2"/>
      </rPr>
      <t>ADS</t>
    </r>
    <r>
      <rPr>
        <sz val="12"/>
        <color indexed="8"/>
        <rFont val="Arial"/>
        <family val="2"/>
      </rPr>
      <t>/</t>
    </r>
    <r>
      <rPr>
        <i/>
        <sz val="12"/>
        <color indexed="8"/>
        <rFont val="Arial"/>
        <family val="2"/>
      </rPr>
      <t>X</t>
    </r>
    <r>
      <rPr>
        <vertAlign val="subscript"/>
        <sz val="12"/>
        <color indexed="8"/>
        <rFont val="Arial"/>
        <family val="2"/>
      </rPr>
      <t>H</t>
    </r>
    <r>
      <rPr>
        <sz val="12"/>
        <color indexed="8"/>
        <rFont val="Arial"/>
        <family val="2"/>
      </rPr>
      <t>))]*</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i/>
        <sz val="12"/>
        <color indexed="10"/>
        <rFont val="Arial"/>
        <family val="2"/>
      </rPr>
      <t>S</t>
    </r>
    <r>
      <rPr>
        <vertAlign val="subscript"/>
        <sz val="12"/>
        <color indexed="10"/>
        <rFont val="Arial"/>
        <family val="2"/>
      </rPr>
      <t>A</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PO4,gro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H</t>
    </r>
  </si>
  <si>
    <r>
      <t>Aerobic growth of X</t>
    </r>
    <r>
      <rPr>
        <b/>
        <vertAlign val="subscript"/>
        <sz val="10"/>
        <color indexed="8"/>
        <rFont val="Arial"/>
        <family val="2"/>
      </rPr>
      <t xml:space="preserve">H </t>
    </r>
    <r>
      <rPr>
        <b/>
        <sz val="10"/>
        <color indexed="8"/>
        <rFont val="Arial"/>
        <family val="2"/>
      </rPr>
      <t>on X</t>
    </r>
    <r>
      <rPr>
        <b/>
        <vertAlign val="subscript"/>
        <sz val="10"/>
        <color indexed="8"/>
        <rFont val="Arial"/>
        <family val="2"/>
      </rPr>
      <t>ADS</t>
    </r>
    <r>
      <rPr>
        <b/>
        <sz val="10"/>
        <color indexed="8"/>
        <rFont val="Arial"/>
        <family val="2"/>
      </rPr>
      <t xml:space="preserve"> with S</t>
    </r>
    <r>
      <rPr>
        <b/>
        <vertAlign val="subscript"/>
        <sz val="10"/>
        <color indexed="8"/>
        <rFont val="Arial"/>
        <family val="2"/>
      </rPr>
      <t>NO3</t>
    </r>
  </si>
  <si>
    <r>
      <t>i</t>
    </r>
    <r>
      <rPr>
        <vertAlign val="subscript"/>
        <sz val="12"/>
        <color indexed="8"/>
        <rFont val="Arial"/>
        <family val="2"/>
      </rPr>
      <t>NENM</t>
    </r>
    <r>
      <rPr>
        <i/>
        <sz val="12"/>
        <color indexed="8"/>
        <rFont val="Arial"/>
        <family val="2"/>
      </rPr>
      <t>/Y</t>
    </r>
    <r>
      <rPr>
        <vertAlign val="subscript"/>
        <sz val="12"/>
        <color indexed="8"/>
        <rFont val="Arial"/>
        <family val="2"/>
      </rPr>
      <t>H1</t>
    </r>
  </si>
  <si>
    <r>
      <t>K</t>
    </r>
    <r>
      <rPr>
        <vertAlign val="subscript"/>
        <sz val="12"/>
        <color indexed="8"/>
        <rFont val="Arial"/>
        <family val="2"/>
      </rPr>
      <t>MP</t>
    </r>
    <r>
      <rPr>
        <sz val="12"/>
        <color indexed="8"/>
        <rFont val="Arial"/>
        <family val="2"/>
      </rPr>
      <t>*[(</t>
    </r>
    <r>
      <rPr>
        <i/>
        <sz val="12"/>
        <color indexed="8"/>
        <rFont val="Arial"/>
        <family val="2"/>
      </rPr>
      <t>X</t>
    </r>
    <r>
      <rPr>
        <vertAlign val="subscript"/>
        <sz val="12"/>
        <color indexed="8"/>
        <rFont val="Arial"/>
        <family val="2"/>
      </rPr>
      <t>ADS</t>
    </r>
    <r>
      <rPr>
        <sz val="12"/>
        <color indexed="8"/>
        <rFont val="Arial"/>
        <family val="2"/>
      </rPr>
      <t>/</t>
    </r>
    <r>
      <rPr>
        <i/>
        <sz val="12"/>
        <color indexed="8"/>
        <rFont val="Arial"/>
        <family val="2"/>
      </rPr>
      <t>X</t>
    </r>
    <r>
      <rPr>
        <vertAlign val="subscript"/>
        <sz val="12"/>
        <color indexed="8"/>
        <rFont val="Arial"/>
        <family val="2"/>
      </rPr>
      <t>H</t>
    </r>
    <r>
      <rPr>
        <sz val="12"/>
        <color indexed="8"/>
        <rFont val="Arial"/>
        <family val="2"/>
      </rPr>
      <t>)/(</t>
    </r>
    <r>
      <rPr>
        <i/>
        <sz val="12"/>
        <color indexed="8"/>
        <rFont val="Arial"/>
        <family val="2"/>
      </rPr>
      <t>K</t>
    </r>
    <r>
      <rPr>
        <vertAlign val="subscript"/>
        <sz val="12"/>
        <color indexed="8"/>
        <rFont val="Arial"/>
        <family val="2"/>
      </rPr>
      <t>SP</t>
    </r>
    <r>
      <rPr>
        <sz val="12"/>
        <color indexed="8"/>
        <rFont val="Arial"/>
        <family val="2"/>
      </rPr>
      <t>+(</t>
    </r>
    <r>
      <rPr>
        <i/>
        <sz val="12"/>
        <color indexed="8"/>
        <rFont val="Arial"/>
        <family val="2"/>
      </rPr>
      <t>X</t>
    </r>
    <r>
      <rPr>
        <vertAlign val="subscript"/>
        <sz val="12"/>
        <color indexed="8"/>
        <rFont val="Arial"/>
        <family val="2"/>
      </rPr>
      <t>ADS</t>
    </r>
    <r>
      <rPr>
        <sz val="12"/>
        <color indexed="8"/>
        <rFont val="Arial"/>
        <family val="2"/>
      </rPr>
      <t>/</t>
    </r>
    <r>
      <rPr>
        <i/>
        <sz val="12"/>
        <color indexed="8"/>
        <rFont val="Arial"/>
        <family val="2"/>
      </rPr>
      <t>X</t>
    </r>
    <r>
      <rPr>
        <vertAlign val="subscript"/>
        <sz val="12"/>
        <color indexed="8"/>
        <rFont val="Arial"/>
        <family val="2"/>
      </rPr>
      <t>H</t>
    </r>
    <r>
      <rPr>
        <sz val="12"/>
        <color indexed="8"/>
        <rFont val="Arial"/>
        <family val="2"/>
      </rPr>
      <t>))]*</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i/>
        <sz val="12"/>
        <color indexed="10"/>
        <rFont val="Arial"/>
        <family val="2"/>
      </rPr>
      <t>S</t>
    </r>
    <r>
      <rPr>
        <vertAlign val="subscript"/>
        <sz val="12"/>
        <color indexed="10"/>
        <rFont val="Arial"/>
        <family val="2"/>
      </rPr>
      <t>A</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K</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PO4,gro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H</t>
    </r>
  </si>
  <si>
    <r>
      <t>Anoxic growth of X</t>
    </r>
    <r>
      <rPr>
        <b/>
        <vertAlign val="subscript"/>
        <sz val="10"/>
        <color indexed="8"/>
        <rFont val="Arial"/>
        <family val="2"/>
      </rPr>
      <t xml:space="preserve">H </t>
    </r>
    <r>
      <rPr>
        <b/>
        <sz val="10"/>
        <color indexed="8"/>
        <rFont val="Arial"/>
        <family val="2"/>
      </rPr>
      <t>on X</t>
    </r>
    <r>
      <rPr>
        <b/>
        <vertAlign val="subscript"/>
        <sz val="10"/>
        <color indexed="8"/>
        <rFont val="Arial"/>
        <family val="2"/>
      </rPr>
      <t>ADS</t>
    </r>
    <r>
      <rPr>
        <b/>
        <sz val="10"/>
        <color indexed="8"/>
        <rFont val="Arial"/>
        <family val="2"/>
      </rPr>
      <t xml:space="preserve"> with S</t>
    </r>
    <r>
      <rPr>
        <b/>
        <vertAlign val="subscript"/>
        <sz val="10"/>
        <color indexed="8"/>
        <rFont val="Arial"/>
        <family val="2"/>
      </rPr>
      <t>NH4</t>
    </r>
  </si>
  <si>
    <r>
      <t>-</t>
    </r>
    <r>
      <rPr>
        <i/>
        <sz val="12"/>
        <color indexed="8"/>
        <rFont val="Arial"/>
        <family val="2"/>
      </rPr>
      <t>i</t>
    </r>
    <r>
      <rPr>
        <vertAlign val="subscript"/>
        <sz val="12"/>
        <color indexed="8"/>
        <rFont val="Arial"/>
        <family val="2"/>
      </rPr>
      <t>NBM</t>
    </r>
    <r>
      <rPr>
        <i/>
        <sz val="12"/>
        <color indexed="8"/>
        <rFont val="Arial"/>
        <family val="2"/>
      </rPr>
      <t>+i</t>
    </r>
    <r>
      <rPr>
        <vertAlign val="subscript"/>
        <sz val="12"/>
        <color indexed="8"/>
        <rFont val="Arial"/>
        <family val="2"/>
      </rPr>
      <t>NENM</t>
    </r>
    <r>
      <rPr>
        <sz val="12"/>
        <color indexed="8"/>
        <rFont val="Arial"/>
        <family val="2"/>
      </rPr>
      <t>/</t>
    </r>
    <r>
      <rPr>
        <i/>
        <sz val="12"/>
        <color indexed="8"/>
        <rFont val="Arial"/>
        <family val="2"/>
      </rPr>
      <t>Y</t>
    </r>
    <r>
      <rPr>
        <vertAlign val="subscript"/>
        <sz val="12"/>
        <color indexed="8"/>
        <rFont val="Arial"/>
        <family val="2"/>
      </rPr>
      <t>H2</t>
    </r>
  </si>
  <si>
    <r>
      <t>-</t>
    </r>
    <r>
      <rPr>
        <i/>
        <sz val="12"/>
        <color indexed="8"/>
        <rFont val="Arial"/>
        <family val="2"/>
      </rPr>
      <t>i</t>
    </r>
    <r>
      <rPr>
        <vertAlign val="subscript"/>
        <sz val="12"/>
        <color indexed="8"/>
        <rFont val="Arial"/>
        <family val="2"/>
      </rPr>
      <t>PBM</t>
    </r>
    <r>
      <rPr>
        <i/>
        <sz val="12"/>
        <color indexed="10"/>
        <rFont val="Arial"/>
        <family val="2"/>
      </rPr>
      <t>+i</t>
    </r>
    <r>
      <rPr>
        <vertAlign val="subscript"/>
        <sz val="12"/>
        <color indexed="10"/>
        <rFont val="Arial"/>
        <family val="2"/>
      </rPr>
      <t>PENM</t>
    </r>
    <r>
      <rPr>
        <sz val="12"/>
        <color indexed="10"/>
        <rFont val="Arial"/>
        <family val="2"/>
      </rPr>
      <t>*</t>
    </r>
    <r>
      <rPr>
        <i/>
        <sz val="12"/>
        <color indexed="10"/>
        <rFont val="Arial"/>
        <family val="2"/>
      </rPr>
      <t>Y</t>
    </r>
    <r>
      <rPr>
        <vertAlign val="subscript"/>
        <sz val="12"/>
        <color indexed="10"/>
        <rFont val="Arial"/>
        <family val="2"/>
      </rPr>
      <t>H2</t>
    </r>
  </si>
  <si>
    <r>
      <t>η</t>
    </r>
    <r>
      <rPr>
        <vertAlign val="subscript"/>
        <sz val="12"/>
        <color indexed="8"/>
        <rFont val="Arial"/>
        <family val="2"/>
      </rPr>
      <t>H</t>
    </r>
    <r>
      <rPr>
        <sz val="12"/>
        <color indexed="8"/>
        <rFont val="Arial"/>
        <family val="2"/>
      </rPr>
      <t>*</t>
    </r>
    <r>
      <rPr>
        <i/>
        <sz val="12"/>
        <color indexed="8"/>
        <rFont val="Arial"/>
        <family val="2"/>
      </rPr>
      <t>K</t>
    </r>
    <r>
      <rPr>
        <vertAlign val="subscript"/>
        <sz val="12"/>
        <color indexed="8"/>
        <rFont val="Arial"/>
        <family val="2"/>
      </rPr>
      <t>MP</t>
    </r>
    <r>
      <rPr>
        <sz val="12"/>
        <color indexed="8"/>
        <rFont val="Arial"/>
        <family val="2"/>
      </rPr>
      <t>*[(</t>
    </r>
    <r>
      <rPr>
        <i/>
        <sz val="12"/>
        <color indexed="8"/>
        <rFont val="Arial"/>
        <family val="2"/>
      </rPr>
      <t>X</t>
    </r>
    <r>
      <rPr>
        <vertAlign val="subscript"/>
        <sz val="12"/>
        <color indexed="8"/>
        <rFont val="Arial"/>
        <family val="2"/>
      </rPr>
      <t>ADS</t>
    </r>
    <r>
      <rPr>
        <sz val="12"/>
        <color indexed="8"/>
        <rFont val="Arial"/>
        <family val="2"/>
      </rPr>
      <t>/</t>
    </r>
    <r>
      <rPr>
        <i/>
        <sz val="12"/>
        <color indexed="8"/>
        <rFont val="Arial"/>
        <family val="2"/>
      </rPr>
      <t>X</t>
    </r>
    <r>
      <rPr>
        <vertAlign val="subscript"/>
        <sz val="12"/>
        <color indexed="8"/>
        <rFont val="Arial"/>
        <family val="2"/>
      </rPr>
      <t>H</t>
    </r>
    <r>
      <rPr>
        <sz val="12"/>
        <color indexed="8"/>
        <rFont val="Arial"/>
        <family val="2"/>
      </rPr>
      <t>)/(</t>
    </r>
    <r>
      <rPr>
        <i/>
        <sz val="12"/>
        <color indexed="8"/>
        <rFont val="Arial"/>
        <family val="2"/>
      </rPr>
      <t>K</t>
    </r>
    <r>
      <rPr>
        <vertAlign val="subscript"/>
        <sz val="12"/>
        <color indexed="8"/>
        <rFont val="Arial"/>
        <family val="2"/>
      </rPr>
      <t>SP</t>
    </r>
    <r>
      <rPr>
        <sz val="12"/>
        <color indexed="8"/>
        <rFont val="Arial"/>
        <family val="2"/>
      </rPr>
      <t>+(</t>
    </r>
    <r>
      <rPr>
        <i/>
        <sz val="12"/>
        <color indexed="8"/>
        <rFont val="Arial"/>
        <family val="2"/>
      </rPr>
      <t>X</t>
    </r>
    <r>
      <rPr>
        <vertAlign val="subscript"/>
        <sz val="12"/>
        <color indexed="8"/>
        <rFont val="Arial"/>
        <family val="2"/>
      </rPr>
      <t>ADS</t>
    </r>
    <r>
      <rPr>
        <sz val="12"/>
        <color indexed="8"/>
        <rFont val="Arial"/>
        <family val="2"/>
      </rPr>
      <t>/</t>
    </r>
    <r>
      <rPr>
        <i/>
        <sz val="12"/>
        <color indexed="8"/>
        <rFont val="Arial"/>
        <family val="2"/>
      </rPr>
      <t>X</t>
    </r>
    <r>
      <rPr>
        <vertAlign val="subscript"/>
        <sz val="12"/>
        <color indexed="8"/>
        <rFont val="Arial"/>
        <family val="2"/>
      </rPr>
      <t>H</t>
    </r>
    <r>
      <rPr>
        <sz val="12"/>
        <color indexed="8"/>
        <rFont val="Arial"/>
        <family val="2"/>
      </rPr>
      <t>))]*</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i/>
        <sz val="12"/>
        <color indexed="10"/>
        <rFont val="Arial"/>
        <family val="2"/>
      </rPr>
      <t>S</t>
    </r>
    <r>
      <rPr>
        <vertAlign val="subscript"/>
        <sz val="12"/>
        <color indexed="10"/>
        <rFont val="Arial"/>
        <family val="2"/>
      </rPr>
      <t>A</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NO3</t>
    </r>
    <r>
      <rPr>
        <sz val="12"/>
        <color indexed="10"/>
        <rFont val="Arial"/>
        <family val="2"/>
      </rPr>
      <t>/(</t>
    </r>
    <r>
      <rPr>
        <i/>
        <sz val="12"/>
        <color indexed="10"/>
        <rFont val="Arial"/>
        <family val="2"/>
      </rPr>
      <t>K</t>
    </r>
    <r>
      <rPr>
        <vertAlign val="subscript"/>
        <sz val="12"/>
        <color indexed="10"/>
        <rFont val="Arial"/>
        <family val="2"/>
      </rPr>
      <t>NO3</t>
    </r>
    <r>
      <rPr>
        <sz val="12"/>
        <color indexed="10"/>
        <rFont val="Arial"/>
        <family val="2"/>
      </rPr>
      <t>+</t>
    </r>
    <r>
      <rPr>
        <i/>
        <sz val="12"/>
        <color indexed="10"/>
        <rFont val="Arial"/>
        <family val="2"/>
      </rPr>
      <t>S</t>
    </r>
    <r>
      <rPr>
        <vertAlign val="subscript"/>
        <sz val="12"/>
        <color indexed="10"/>
        <rFont val="Arial"/>
        <family val="2"/>
      </rPr>
      <t>NO3</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PO4,gro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H</t>
    </r>
  </si>
  <si>
    <r>
      <t>Anoxic growth of X</t>
    </r>
    <r>
      <rPr>
        <b/>
        <vertAlign val="subscript"/>
        <sz val="10"/>
        <color indexed="8"/>
        <rFont val="Arial"/>
        <family val="2"/>
      </rPr>
      <t xml:space="preserve">H </t>
    </r>
    <r>
      <rPr>
        <b/>
        <sz val="10"/>
        <color indexed="8"/>
        <rFont val="Arial"/>
        <family val="2"/>
      </rPr>
      <t>on X</t>
    </r>
    <r>
      <rPr>
        <b/>
        <vertAlign val="subscript"/>
        <sz val="10"/>
        <color indexed="8"/>
        <rFont val="Arial"/>
        <family val="2"/>
      </rPr>
      <t>ADS</t>
    </r>
    <r>
      <rPr>
        <b/>
        <sz val="10"/>
        <color indexed="8"/>
        <rFont val="Arial"/>
        <family val="2"/>
      </rPr>
      <t xml:space="preserve"> with S</t>
    </r>
    <r>
      <rPr>
        <b/>
        <vertAlign val="subscript"/>
        <sz val="10"/>
        <color indexed="8"/>
        <rFont val="Arial"/>
        <family val="2"/>
      </rPr>
      <t>NO3</t>
    </r>
  </si>
  <si>
    <r>
      <t>i</t>
    </r>
    <r>
      <rPr>
        <vertAlign val="subscript"/>
        <sz val="12"/>
        <color indexed="8"/>
        <rFont val="Arial"/>
        <family val="2"/>
      </rPr>
      <t>NENM</t>
    </r>
    <r>
      <rPr>
        <i/>
        <sz val="12"/>
        <color indexed="8"/>
        <rFont val="Arial"/>
        <family val="2"/>
      </rPr>
      <t>/Y</t>
    </r>
    <r>
      <rPr>
        <vertAlign val="subscript"/>
        <sz val="12"/>
        <color indexed="8"/>
        <rFont val="Arial"/>
        <family val="2"/>
      </rPr>
      <t>H2</t>
    </r>
    <r>
      <rPr>
        <i/>
        <sz val="12"/>
        <color indexed="10"/>
        <rFont val="Arial"/>
        <family val="2"/>
      </rPr>
      <t>-i</t>
    </r>
    <r>
      <rPr>
        <vertAlign val="subscript"/>
        <sz val="12"/>
        <color indexed="10"/>
        <rFont val="Arial"/>
        <family val="2"/>
      </rPr>
      <t>COD_NOx</t>
    </r>
    <r>
      <rPr>
        <i/>
        <sz val="12"/>
        <color indexed="10"/>
        <rFont val="Arial"/>
        <family val="2"/>
      </rPr>
      <t>*i</t>
    </r>
    <r>
      <rPr>
        <vertAlign val="subscript"/>
        <sz val="12"/>
        <color indexed="10"/>
        <rFont val="Arial"/>
        <family val="2"/>
      </rPr>
      <t>NBM</t>
    </r>
    <r>
      <rPr>
        <i/>
        <sz val="12"/>
        <color indexed="10"/>
        <rFont val="Arial"/>
        <family val="2"/>
      </rPr>
      <t>*i</t>
    </r>
    <r>
      <rPr>
        <vertAlign val="subscript"/>
        <sz val="12"/>
        <color indexed="10"/>
        <rFont val="Arial"/>
        <family val="2"/>
      </rPr>
      <t>NENM</t>
    </r>
  </si>
  <si>
    <r>
      <t>-</t>
    </r>
    <r>
      <rPr>
        <i/>
        <sz val="12"/>
        <color indexed="8"/>
        <rFont val="Arial"/>
        <family val="2"/>
      </rPr>
      <t>i</t>
    </r>
    <r>
      <rPr>
        <vertAlign val="subscript"/>
        <sz val="12"/>
        <color indexed="8"/>
        <rFont val="Arial"/>
        <family val="2"/>
      </rPr>
      <t>PBM</t>
    </r>
    <r>
      <rPr>
        <sz val="12"/>
        <color indexed="10"/>
        <rFont val="Arial"/>
        <family val="2"/>
      </rPr>
      <t>+</t>
    </r>
    <r>
      <rPr>
        <i/>
        <sz val="12"/>
        <color indexed="10"/>
        <rFont val="Arial"/>
        <family val="2"/>
      </rPr>
      <t>i</t>
    </r>
    <r>
      <rPr>
        <vertAlign val="subscript"/>
        <sz val="12"/>
        <color indexed="10"/>
        <rFont val="Arial"/>
        <family val="2"/>
      </rPr>
      <t>PENM</t>
    </r>
    <r>
      <rPr>
        <sz val="12"/>
        <color indexed="10"/>
        <rFont val="Arial"/>
        <family val="2"/>
      </rPr>
      <t>/</t>
    </r>
    <r>
      <rPr>
        <i/>
        <sz val="12"/>
        <color indexed="10"/>
        <rFont val="Arial"/>
        <family val="2"/>
      </rPr>
      <t>Y</t>
    </r>
    <r>
      <rPr>
        <vertAlign val="subscript"/>
        <sz val="12"/>
        <color indexed="10"/>
        <rFont val="Arial"/>
        <family val="2"/>
      </rPr>
      <t>H2</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i</t>
    </r>
    <r>
      <rPr>
        <vertAlign val="subscript"/>
        <sz val="12"/>
        <color indexed="10"/>
        <rFont val="Arial"/>
        <family val="2"/>
      </rPr>
      <t>NBM</t>
    </r>
    <r>
      <rPr>
        <sz val="12"/>
        <color indexed="10"/>
        <rFont val="Arial"/>
        <family val="2"/>
      </rPr>
      <t>*</t>
    </r>
    <r>
      <rPr>
        <i/>
        <sz val="12"/>
        <color indexed="10"/>
        <rFont val="Arial"/>
        <family val="2"/>
      </rPr>
      <t>i</t>
    </r>
    <r>
      <rPr>
        <vertAlign val="subscript"/>
        <sz val="12"/>
        <color indexed="10"/>
        <rFont val="Arial"/>
        <family val="2"/>
      </rPr>
      <t>PENM</t>
    </r>
  </si>
  <si>
    <r>
      <t>η</t>
    </r>
    <r>
      <rPr>
        <vertAlign val="subscript"/>
        <sz val="12"/>
        <color indexed="8"/>
        <rFont val="Arial"/>
        <family val="2"/>
      </rPr>
      <t>H</t>
    </r>
    <r>
      <rPr>
        <sz val="12"/>
        <color indexed="8"/>
        <rFont val="Arial"/>
        <family val="2"/>
      </rPr>
      <t>*</t>
    </r>
    <r>
      <rPr>
        <i/>
        <sz val="12"/>
        <color indexed="8"/>
        <rFont val="Arial"/>
        <family val="2"/>
      </rPr>
      <t>K</t>
    </r>
    <r>
      <rPr>
        <vertAlign val="subscript"/>
        <sz val="12"/>
        <color indexed="8"/>
        <rFont val="Arial"/>
        <family val="2"/>
      </rPr>
      <t>MP</t>
    </r>
    <r>
      <rPr>
        <sz val="12"/>
        <color indexed="8"/>
        <rFont val="Arial"/>
        <family val="2"/>
      </rPr>
      <t>*[(</t>
    </r>
    <r>
      <rPr>
        <i/>
        <sz val="12"/>
        <color indexed="8"/>
        <rFont val="Arial"/>
        <family val="2"/>
      </rPr>
      <t>X</t>
    </r>
    <r>
      <rPr>
        <vertAlign val="subscript"/>
        <sz val="12"/>
        <color indexed="8"/>
        <rFont val="Arial"/>
        <family val="2"/>
      </rPr>
      <t>ADS</t>
    </r>
    <r>
      <rPr>
        <sz val="12"/>
        <color indexed="8"/>
        <rFont val="Arial"/>
        <family val="2"/>
      </rPr>
      <t>/</t>
    </r>
    <r>
      <rPr>
        <i/>
        <sz val="12"/>
        <color indexed="8"/>
        <rFont val="Arial"/>
        <family val="2"/>
      </rPr>
      <t>X</t>
    </r>
    <r>
      <rPr>
        <vertAlign val="subscript"/>
        <sz val="12"/>
        <color indexed="8"/>
        <rFont val="Arial"/>
        <family val="2"/>
      </rPr>
      <t>H</t>
    </r>
    <r>
      <rPr>
        <sz val="12"/>
        <color indexed="8"/>
        <rFont val="Arial"/>
        <family val="2"/>
      </rPr>
      <t>)/(</t>
    </r>
    <r>
      <rPr>
        <i/>
        <sz val="12"/>
        <color indexed="8"/>
        <rFont val="Arial"/>
        <family val="2"/>
      </rPr>
      <t>K</t>
    </r>
    <r>
      <rPr>
        <vertAlign val="subscript"/>
        <sz val="12"/>
        <color indexed="8"/>
        <rFont val="Arial"/>
        <family val="2"/>
      </rPr>
      <t>SP</t>
    </r>
    <r>
      <rPr>
        <sz val="12"/>
        <color indexed="8"/>
        <rFont val="Arial"/>
        <family val="2"/>
      </rPr>
      <t>+(</t>
    </r>
    <r>
      <rPr>
        <i/>
        <sz val="12"/>
        <color indexed="8"/>
        <rFont val="Arial"/>
        <family val="2"/>
      </rPr>
      <t>X</t>
    </r>
    <r>
      <rPr>
        <vertAlign val="subscript"/>
        <sz val="12"/>
        <color indexed="8"/>
        <rFont val="Arial"/>
        <family val="2"/>
      </rPr>
      <t>ADS</t>
    </r>
    <r>
      <rPr>
        <sz val="12"/>
        <color indexed="8"/>
        <rFont val="Arial"/>
        <family val="2"/>
      </rPr>
      <t>/</t>
    </r>
    <r>
      <rPr>
        <i/>
        <sz val="12"/>
        <color indexed="8"/>
        <rFont val="Arial"/>
        <family val="2"/>
      </rPr>
      <t>X</t>
    </r>
    <r>
      <rPr>
        <vertAlign val="subscript"/>
        <sz val="12"/>
        <color indexed="8"/>
        <rFont val="Arial"/>
        <family val="2"/>
      </rPr>
      <t>H</t>
    </r>
    <r>
      <rPr>
        <sz val="12"/>
        <color indexed="8"/>
        <rFont val="Arial"/>
        <family val="2"/>
      </rPr>
      <t>))]*</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i/>
        <sz val="12"/>
        <color indexed="10"/>
        <rFont val="Arial"/>
        <family val="2"/>
      </rPr>
      <t>S</t>
    </r>
    <r>
      <rPr>
        <vertAlign val="subscript"/>
        <sz val="12"/>
        <color indexed="10"/>
        <rFont val="Arial"/>
        <family val="2"/>
      </rPr>
      <t>A</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K</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PO4,gro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H</t>
    </r>
  </si>
  <si>
    <r>
      <t>Adsorption of X</t>
    </r>
    <r>
      <rPr>
        <b/>
        <vertAlign val="subscript"/>
        <sz val="10"/>
        <color indexed="8"/>
        <rFont val="Arial"/>
        <family val="2"/>
      </rPr>
      <t>ENM</t>
    </r>
  </si>
  <si>
    <r>
      <t>K</t>
    </r>
    <r>
      <rPr>
        <vertAlign val="subscript"/>
        <sz val="12"/>
        <color indexed="8"/>
        <rFont val="Arial"/>
        <family val="2"/>
      </rPr>
      <t>ADS</t>
    </r>
    <r>
      <rPr>
        <sz val="12"/>
        <color indexed="8"/>
        <rFont val="Arial"/>
        <family val="2"/>
      </rPr>
      <t>*</t>
    </r>
    <r>
      <rPr>
        <i/>
        <sz val="12"/>
        <color indexed="8"/>
        <rFont val="Arial"/>
        <family val="2"/>
      </rPr>
      <t>X</t>
    </r>
    <r>
      <rPr>
        <vertAlign val="subscript"/>
        <sz val="12"/>
        <color indexed="8"/>
        <rFont val="Arial"/>
        <family val="2"/>
      </rPr>
      <t>ENM</t>
    </r>
    <r>
      <rPr>
        <sz val="10"/>
        <color indexed="8"/>
        <rFont val="Arial"/>
        <family val="2"/>
      </rPr>
      <t>*</t>
    </r>
    <r>
      <rPr>
        <sz val="12"/>
        <color indexed="8"/>
        <rFont val="Arial"/>
        <family val="2"/>
      </rPr>
      <t>[(</t>
    </r>
    <r>
      <rPr>
        <i/>
        <sz val="12"/>
        <color indexed="8"/>
        <rFont val="Arial"/>
        <family val="2"/>
      </rPr>
      <t>f</t>
    </r>
    <r>
      <rPr>
        <vertAlign val="subscript"/>
        <sz val="12"/>
        <color indexed="8"/>
        <rFont val="Arial"/>
        <family val="2"/>
      </rPr>
      <t>MA</t>
    </r>
    <r>
      <rPr>
        <sz val="12"/>
        <color indexed="8"/>
        <rFont val="Arial"/>
        <family val="2"/>
      </rPr>
      <t>-</t>
    </r>
    <r>
      <rPr>
        <i/>
        <sz val="12"/>
        <color indexed="8"/>
        <rFont val="Arial"/>
        <family val="2"/>
      </rPr>
      <t>X</t>
    </r>
    <r>
      <rPr>
        <vertAlign val="subscript"/>
        <sz val="12"/>
        <color indexed="8"/>
        <rFont val="Arial"/>
        <family val="2"/>
      </rPr>
      <t>ADS</t>
    </r>
    <r>
      <rPr>
        <sz val="12"/>
        <color indexed="8"/>
        <rFont val="Arial"/>
        <family val="2"/>
      </rPr>
      <t>)/</t>
    </r>
    <r>
      <rPr>
        <i/>
        <sz val="12"/>
        <color indexed="8"/>
        <rFont val="Arial"/>
        <family val="2"/>
      </rPr>
      <t>X</t>
    </r>
    <r>
      <rPr>
        <vertAlign val="subscript"/>
        <sz val="12"/>
        <color indexed="8"/>
        <rFont val="Arial"/>
        <family val="2"/>
      </rPr>
      <t>H</t>
    </r>
    <r>
      <rPr>
        <sz val="12"/>
        <color indexed="8"/>
        <rFont val="Arial"/>
        <family val="2"/>
      </rPr>
      <t>]*</t>
    </r>
    <r>
      <rPr>
        <i/>
        <sz val="12"/>
        <color indexed="8"/>
        <rFont val="Arial"/>
        <family val="2"/>
      </rPr>
      <t>X</t>
    </r>
    <r>
      <rPr>
        <vertAlign val="subscript"/>
        <sz val="12"/>
        <color indexed="8"/>
        <rFont val="Arial"/>
        <family val="2"/>
      </rPr>
      <t>H</t>
    </r>
  </si>
  <si>
    <r>
      <t>i</t>
    </r>
    <r>
      <rPr>
        <vertAlign val="subscript"/>
        <sz val="12"/>
        <color indexed="10"/>
        <rFont val="Arial"/>
        <family val="2"/>
      </rPr>
      <t>NBM</t>
    </r>
    <r>
      <rPr>
        <sz val="12"/>
        <color indexed="10"/>
        <rFont val="Arial"/>
        <family val="2"/>
      </rPr>
      <t>-(1</t>
    </r>
    <r>
      <rPr>
        <i/>
        <sz val="12"/>
        <color indexed="10"/>
        <rFont val="Arial"/>
        <family val="2"/>
      </rPr>
      <t>-f</t>
    </r>
    <r>
      <rPr>
        <vertAlign val="subscript"/>
        <sz val="12"/>
        <color indexed="10"/>
        <rFont val="Arial"/>
        <family val="2"/>
      </rPr>
      <t>XE,H</t>
    </r>
    <r>
      <rPr>
        <i/>
        <sz val="12"/>
        <color indexed="10"/>
        <rFont val="Arial"/>
        <family val="2"/>
      </rPr>
      <t>)</t>
    </r>
    <r>
      <rPr>
        <sz val="12"/>
        <color indexed="10"/>
        <rFont val="Arial"/>
        <family val="2"/>
      </rPr>
      <t>*</t>
    </r>
    <r>
      <rPr>
        <i/>
        <sz val="12"/>
        <color indexed="10"/>
        <rFont val="Arial"/>
        <family val="2"/>
      </rPr>
      <t>i</t>
    </r>
    <r>
      <rPr>
        <vertAlign val="subscript"/>
        <sz val="12"/>
        <color indexed="10"/>
        <rFont val="Arial"/>
        <family val="2"/>
      </rPr>
      <t>NBM</t>
    </r>
    <r>
      <rPr>
        <sz val="12"/>
        <color indexed="10"/>
        <rFont val="Arial"/>
        <family val="2"/>
      </rPr>
      <t>-</t>
    </r>
    <r>
      <rPr>
        <i/>
        <sz val="12"/>
        <color indexed="10"/>
        <rFont val="Arial"/>
        <family val="2"/>
      </rPr>
      <t>f</t>
    </r>
    <r>
      <rPr>
        <vertAlign val="subscript"/>
        <sz val="12"/>
        <color indexed="10"/>
        <rFont val="Arial"/>
        <family val="2"/>
      </rPr>
      <t>XE,H</t>
    </r>
    <r>
      <rPr>
        <sz val="12"/>
        <color indexed="10"/>
        <rFont val="Arial"/>
        <family val="2"/>
      </rPr>
      <t>*</t>
    </r>
    <r>
      <rPr>
        <i/>
        <sz val="12"/>
        <color indexed="10"/>
        <rFont val="Arial"/>
        <family val="2"/>
      </rPr>
      <t>i</t>
    </r>
    <r>
      <rPr>
        <vertAlign val="subscript"/>
        <sz val="12"/>
        <color indexed="10"/>
        <rFont val="Arial"/>
        <family val="2"/>
      </rPr>
      <t>NXE</t>
    </r>
  </si>
  <si>
    <r>
      <t>i</t>
    </r>
    <r>
      <rPr>
        <vertAlign val="subscript"/>
        <sz val="12"/>
        <color indexed="8"/>
        <rFont val="Arial"/>
        <family val="2"/>
      </rPr>
      <t>PBM</t>
    </r>
    <r>
      <rPr>
        <i/>
        <sz val="12"/>
        <color indexed="8"/>
        <rFont val="Arial"/>
        <family val="2"/>
      </rPr>
      <t>-f</t>
    </r>
    <r>
      <rPr>
        <vertAlign val="subscript"/>
        <sz val="12"/>
        <color indexed="8"/>
        <rFont val="Arial"/>
        <family val="2"/>
      </rPr>
      <t>XE,H</t>
    </r>
    <r>
      <rPr>
        <sz val="12"/>
        <color indexed="8"/>
        <rFont val="Arial"/>
        <family val="2"/>
      </rPr>
      <t>*</t>
    </r>
    <r>
      <rPr>
        <i/>
        <sz val="12"/>
        <color indexed="57"/>
        <rFont val="Arial"/>
        <family val="2"/>
      </rPr>
      <t>i</t>
    </r>
    <r>
      <rPr>
        <vertAlign val="subscript"/>
        <sz val="12"/>
        <color indexed="57"/>
        <rFont val="Arial"/>
        <family val="2"/>
      </rPr>
      <t>PXE</t>
    </r>
    <r>
      <rPr>
        <b/>
        <sz val="12"/>
        <color indexed="10"/>
        <rFont val="Arial"/>
        <family val="2"/>
      </rPr>
      <t>-</t>
    </r>
    <r>
      <rPr>
        <i/>
        <sz val="12"/>
        <color indexed="10"/>
        <rFont val="Arial"/>
        <family val="2"/>
      </rPr>
      <t>(</t>
    </r>
    <r>
      <rPr>
        <sz val="12"/>
        <color indexed="10"/>
        <rFont val="Arial"/>
        <family val="2"/>
      </rPr>
      <t>1-</t>
    </r>
    <r>
      <rPr>
        <i/>
        <sz val="12"/>
        <color indexed="10"/>
        <rFont val="Arial"/>
        <family val="2"/>
      </rPr>
      <t>f</t>
    </r>
    <r>
      <rPr>
        <vertAlign val="subscript"/>
        <sz val="12"/>
        <color indexed="10"/>
        <rFont val="Arial"/>
        <family val="2"/>
      </rPr>
      <t>XE,H</t>
    </r>
    <r>
      <rPr>
        <sz val="12"/>
        <color indexed="10"/>
        <rFont val="Arial"/>
        <family val="2"/>
      </rPr>
      <t>)*</t>
    </r>
    <r>
      <rPr>
        <i/>
        <sz val="12"/>
        <color indexed="10"/>
        <rFont val="Arial"/>
        <family val="2"/>
      </rPr>
      <t>i</t>
    </r>
    <r>
      <rPr>
        <vertAlign val="subscript"/>
        <sz val="12"/>
        <color indexed="10"/>
        <rFont val="Arial"/>
        <family val="2"/>
      </rPr>
      <t>PENM</t>
    </r>
  </si>
  <si>
    <r>
      <t>1-</t>
    </r>
    <r>
      <rPr>
        <i/>
        <sz val="12"/>
        <color indexed="57"/>
        <rFont val="Arial"/>
        <family val="2"/>
      </rPr>
      <t>f</t>
    </r>
    <r>
      <rPr>
        <vertAlign val="subscript"/>
        <sz val="12"/>
        <color indexed="57"/>
        <rFont val="Arial"/>
        <family val="2"/>
      </rPr>
      <t>XE,H</t>
    </r>
  </si>
  <si>
    <r>
      <t>Conversion of S</t>
    </r>
    <r>
      <rPr>
        <b/>
        <vertAlign val="subscript"/>
        <sz val="10"/>
        <color indexed="8"/>
        <rFont val="Arial"/>
        <family val="2"/>
      </rPr>
      <t>F</t>
    </r>
    <r>
      <rPr>
        <b/>
        <sz val="10"/>
        <color indexed="8"/>
        <rFont val="Arial"/>
        <family val="2"/>
      </rPr>
      <t xml:space="preserve"> to S</t>
    </r>
    <r>
      <rPr>
        <b/>
        <vertAlign val="subscript"/>
        <sz val="10"/>
        <color indexed="8"/>
        <rFont val="Arial"/>
        <family val="2"/>
      </rPr>
      <t>A</t>
    </r>
  </si>
  <si>
    <r>
      <t>K</t>
    </r>
    <r>
      <rPr>
        <vertAlign val="subscript"/>
        <sz val="12"/>
        <color indexed="8"/>
        <rFont val="Arial"/>
        <family val="2"/>
      </rPr>
      <t>FE</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NO3</t>
    </r>
    <r>
      <rPr>
        <sz val="12"/>
        <color indexed="8"/>
        <rFont val="Arial"/>
        <family val="2"/>
      </rPr>
      <t>/(</t>
    </r>
    <r>
      <rPr>
        <i/>
        <sz val="12"/>
        <color indexed="8"/>
        <rFont val="Arial"/>
        <family val="2"/>
      </rPr>
      <t>K</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X</t>
    </r>
    <r>
      <rPr>
        <vertAlign val="subscript"/>
        <sz val="12"/>
        <color indexed="8"/>
        <rFont val="Arial"/>
        <family val="2"/>
      </rPr>
      <t>H</t>
    </r>
  </si>
  <si>
    <r>
      <t xml:space="preserve"> growth of X</t>
    </r>
    <r>
      <rPr>
        <b/>
        <vertAlign val="subscript"/>
        <sz val="10"/>
        <color indexed="8"/>
        <rFont val="Arial"/>
        <family val="2"/>
      </rPr>
      <t>NIT</t>
    </r>
  </si>
  <si>
    <r>
      <t>-(-</t>
    </r>
    <r>
      <rPr>
        <i/>
        <sz val="12"/>
        <color indexed="8"/>
        <rFont val="Arial"/>
        <family val="2"/>
      </rPr>
      <t>i</t>
    </r>
    <r>
      <rPr>
        <vertAlign val="subscript"/>
        <sz val="12"/>
        <color indexed="8"/>
        <rFont val="Arial"/>
        <family val="2"/>
      </rPr>
      <t>COD_NOx</t>
    </r>
    <r>
      <rPr>
        <sz val="12"/>
        <color indexed="8"/>
        <rFont val="Arial"/>
        <family val="2"/>
      </rPr>
      <t>-</t>
    </r>
    <r>
      <rPr>
        <i/>
        <sz val="12"/>
        <color indexed="8"/>
        <rFont val="Arial"/>
        <family val="2"/>
      </rPr>
      <t>Y</t>
    </r>
    <r>
      <rPr>
        <vertAlign val="subscript"/>
        <sz val="12"/>
        <color indexed="8"/>
        <rFont val="Arial"/>
        <family val="2"/>
      </rPr>
      <t>NIT</t>
    </r>
    <r>
      <rPr>
        <sz val="12"/>
        <color indexed="8"/>
        <rFont val="Arial"/>
        <family val="2"/>
      </rPr>
      <t>)/</t>
    </r>
    <r>
      <rPr>
        <i/>
        <sz val="12"/>
        <color indexed="8"/>
        <rFont val="Arial"/>
        <family val="2"/>
      </rPr>
      <t>Y</t>
    </r>
    <r>
      <rPr>
        <vertAlign val="subscript"/>
        <sz val="12"/>
        <color indexed="8"/>
        <rFont val="Arial"/>
        <family val="2"/>
      </rPr>
      <t>NIT</t>
    </r>
  </si>
  <si>
    <r>
      <t>-</t>
    </r>
    <r>
      <rPr>
        <i/>
        <sz val="12"/>
        <color indexed="8"/>
        <rFont val="Arial"/>
        <family val="2"/>
      </rPr>
      <t>i</t>
    </r>
    <r>
      <rPr>
        <vertAlign val="subscript"/>
        <sz val="12"/>
        <color indexed="8"/>
        <rFont val="Arial"/>
        <family val="2"/>
      </rPr>
      <t>NBM</t>
    </r>
    <r>
      <rPr>
        <sz val="12"/>
        <color indexed="8"/>
        <rFont val="Arial"/>
        <family val="2"/>
      </rPr>
      <t>-1</t>
    </r>
    <r>
      <rPr>
        <i/>
        <sz val="12"/>
        <color indexed="8"/>
        <rFont val="Arial"/>
        <family val="2"/>
      </rPr>
      <t>/Y</t>
    </r>
    <r>
      <rPr>
        <vertAlign val="subscript"/>
        <sz val="12"/>
        <color indexed="8"/>
        <rFont val="Arial"/>
        <family val="2"/>
      </rPr>
      <t>NIT</t>
    </r>
  </si>
  <si>
    <r>
      <t>1/</t>
    </r>
    <r>
      <rPr>
        <i/>
        <sz val="12"/>
        <color indexed="8"/>
        <rFont val="Arial"/>
        <family val="2"/>
      </rPr>
      <t>Y</t>
    </r>
    <r>
      <rPr>
        <vertAlign val="subscript"/>
        <sz val="12"/>
        <color indexed="8"/>
        <rFont val="Arial"/>
        <family val="2"/>
      </rPr>
      <t>NIT</t>
    </r>
  </si>
  <si>
    <r>
      <t>μ</t>
    </r>
    <r>
      <rPr>
        <vertAlign val="subscript"/>
        <sz val="12"/>
        <color indexed="8"/>
        <rFont val="Arial"/>
        <family val="2"/>
      </rPr>
      <t>NIT</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ON</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PO4,gro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NIT</t>
    </r>
  </si>
  <si>
    <r>
      <t xml:space="preserve"> decay of X</t>
    </r>
    <r>
      <rPr>
        <b/>
        <vertAlign val="subscript"/>
        <sz val="10"/>
        <color indexed="8"/>
        <rFont val="Arial"/>
        <family val="2"/>
      </rPr>
      <t>NIT</t>
    </r>
  </si>
  <si>
    <r>
      <t>i</t>
    </r>
    <r>
      <rPr>
        <vertAlign val="subscript"/>
        <sz val="12"/>
        <color indexed="10"/>
        <rFont val="Arial"/>
        <family val="2"/>
      </rPr>
      <t>NBM</t>
    </r>
    <r>
      <rPr>
        <sz val="12"/>
        <color indexed="10"/>
        <rFont val="Arial"/>
        <family val="2"/>
      </rPr>
      <t>-(1</t>
    </r>
    <r>
      <rPr>
        <i/>
        <sz val="12"/>
        <color indexed="10"/>
        <rFont val="Arial"/>
        <family val="2"/>
      </rPr>
      <t>-f</t>
    </r>
    <r>
      <rPr>
        <vertAlign val="subscript"/>
        <sz val="12"/>
        <color indexed="10"/>
        <rFont val="Arial"/>
        <family val="2"/>
      </rPr>
      <t>XE,NIT</t>
    </r>
    <r>
      <rPr>
        <sz val="12"/>
        <color indexed="10"/>
        <rFont val="Arial"/>
        <family val="2"/>
      </rPr>
      <t>)*</t>
    </r>
    <r>
      <rPr>
        <i/>
        <sz val="12"/>
        <color indexed="10"/>
        <rFont val="Arial"/>
        <family val="2"/>
      </rPr>
      <t>i</t>
    </r>
    <r>
      <rPr>
        <vertAlign val="subscript"/>
        <sz val="12"/>
        <color indexed="10"/>
        <rFont val="Arial"/>
        <family val="2"/>
      </rPr>
      <t>NENM</t>
    </r>
    <r>
      <rPr>
        <sz val="12"/>
        <color indexed="10"/>
        <rFont val="Arial"/>
        <family val="2"/>
      </rPr>
      <t>-</t>
    </r>
    <r>
      <rPr>
        <i/>
        <sz val="12"/>
        <color indexed="10"/>
        <rFont val="Arial"/>
        <family val="2"/>
      </rPr>
      <t>f</t>
    </r>
    <r>
      <rPr>
        <vertAlign val="subscript"/>
        <sz val="12"/>
        <color indexed="10"/>
        <rFont val="Arial"/>
        <family val="2"/>
      </rPr>
      <t>XE,NIT</t>
    </r>
    <r>
      <rPr>
        <sz val="12"/>
        <color indexed="10"/>
        <rFont val="Arial"/>
        <family val="2"/>
      </rPr>
      <t>*</t>
    </r>
    <r>
      <rPr>
        <i/>
        <sz val="12"/>
        <color indexed="10"/>
        <rFont val="Arial"/>
        <family val="2"/>
      </rPr>
      <t>i</t>
    </r>
    <r>
      <rPr>
        <vertAlign val="subscript"/>
        <sz val="12"/>
        <color indexed="10"/>
        <rFont val="Arial"/>
        <family val="2"/>
      </rPr>
      <t>NXE</t>
    </r>
  </si>
  <si>
    <r>
      <t>i</t>
    </r>
    <r>
      <rPr>
        <vertAlign val="subscript"/>
        <sz val="12"/>
        <color indexed="8"/>
        <rFont val="Arial"/>
        <family val="2"/>
      </rPr>
      <t>PBM</t>
    </r>
    <r>
      <rPr>
        <i/>
        <sz val="12"/>
        <color indexed="8"/>
        <rFont val="Arial"/>
        <family val="2"/>
      </rPr>
      <t>-f</t>
    </r>
    <r>
      <rPr>
        <vertAlign val="subscript"/>
        <sz val="12"/>
        <color indexed="8"/>
        <rFont val="Arial"/>
        <family val="2"/>
      </rPr>
      <t>XE,NIT</t>
    </r>
    <r>
      <rPr>
        <sz val="12"/>
        <color indexed="8"/>
        <rFont val="Arial"/>
        <family val="2"/>
      </rPr>
      <t>*</t>
    </r>
    <r>
      <rPr>
        <i/>
        <sz val="12"/>
        <color indexed="57"/>
        <rFont val="Arial"/>
        <family val="2"/>
      </rPr>
      <t>i</t>
    </r>
    <r>
      <rPr>
        <vertAlign val="subscript"/>
        <sz val="12"/>
        <color indexed="57"/>
        <rFont val="Arial"/>
        <family val="2"/>
      </rPr>
      <t>PXE</t>
    </r>
    <r>
      <rPr>
        <b/>
        <sz val="12"/>
        <color indexed="10"/>
        <rFont val="Arial"/>
        <family val="2"/>
      </rPr>
      <t>-</t>
    </r>
    <r>
      <rPr>
        <i/>
        <sz val="12"/>
        <color indexed="10"/>
        <rFont val="Arial"/>
        <family val="2"/>
      </rPr>
      <t>(</t>
    </r>
    <r>
      <rPr>
        <sz val="12"/>
        <color indexed="10"/>
        <rFont val="Arial"/>
        <family val="2"/>
      </rPr>
      <t>1-</t>
    </r>
    <r>
      <rPr>
        <i/>
        <sz val="12"/>
        <color indexed="10"/>
        <rFont val="Arial"/>
        <family val="2"/>
      </rPr>
      <t>f</t>
    </r>
    <r>
      <rPr>
        <vertAlign val="subscript"/>
        <sz val="12"/>
        <color indexed="10"/>
        <rFont val="Arial"/>
        <family val="2"/>
      </rPr>
      <t>XE,NIT</t>
    </r>
    <r>
      <rPr>
        <sz val="12"/>
        <color indexed="10"/>
        <rFont val="Arial"/>
        <family val="2"/>
      </rPr>
      <t>)*</t>
    </r>
    <r>
      <rPr>
        <i/>
        <sz val="12"/>
        <color indexed="10"/>
        <rFont val="Arial"/>
        <family val="2"/>
      </rPr>
      <t>i</t>
    </r>
    <r>
      <rPr>
        <vertAlign val="subscript"/>
        <sz val="12"/>
        <color indexed="10"/>
        <rFont val="Arial"/>
        <family val="2"/>
      </rPr>
      <t>PENM</t>
    </r>
  </si>
  <si>
    <r>
      <t>1-</t>
    </r>
    <r>
      <rPr>
        <i/>
        <sz val="12"/>
        <color indexed="57"/>
        <rFont val="Arial"/>
        <family val="2"/>
      </rPr>
      <t>f</t>
    </r>
    <r>
      <rPr>
        <vertAlign val="subscript"/>
        <sz val="12"/>
        <color indexed="57"/>
        <rFont val="Arial"/>
        <family val="2"/>
      </rPr>
      <t>XE,NIT</t>
    </r>
  </si>
  <si>
    <r>
      <t>b</t>
    </r>
    <r>
      <rPr>
        <vertAlign val="subscript"/>
        <sz val="12"/>
        <color indexed="8"/>
        <rFont val="Arial"/>
        <family val="2"/>
      </rPr>
      <t>NIT</t>
    </r>
    <r>
      <rPr>
        <sz val="12"/>
        <color indexed="8"/>
        <rFont val="Arial"/>
        <family val="2"/>
      </rPr>
      <t>*</t>
    </r>
    <r>
      <rPr>
        <i/>
        <sz val="12"/>
        <color indexed="8"/>
        <rFont val="Arial"/>
        <family val="2"/>
      </rPr>
      <t>X</t>
    </r>
    <r>
      <rPr>
        <vertAlign val="subscript"/>
        <sz val="12"/>
        <color indexed="8"/>
        <rFont val="Arial"/>
        <family val="2"/>
      </rPr>
      <t>NIT</t>
    </r>
  </si>
  <si>
    <r>
      <t>Aerobic growth of X</t>
    </r>
    <r>
      <rPr>
        <b/>
        <vertAlign val="subscript"/>
        <sz val="10"/>
        <color indexed="8"/>
        <rFont val="Arial"/>
        <family val="2"/>
      </rPr>
      <t>PAO</t>
    </r>
    <r>
      <rPr>
        <b/>
        <sz val="10"/>
        <color indexed="8"/>
        <rFont val="Arial"/>
        <family val="2"/>
      </rPr>
      <t xml:space="preserve"> on X</t>
    </r>
    <r>
      <rPr>
        <b/>
        <vertAlign val="subscript"/>
        <sz val="10"/>
        <color indexed="8"/>
        <rFont val="Arial"/>
        <family val="2"/>
      </rPr>
      <t>PHA</t>
    </r>
    <r>
      <rPr>
        <b/>
        <sz val="10"/>
        <color indexed="8"/>
        <rFont val="Arial"/>
        <family val="2"/>
      </rPr>
      <t xml:space="preserve"> with S</t>
    </r>
    <r>
      <rPr>
        <b/>
        <vertAlign val="subscript"/>
        <sz val="10"/>
        <color indexed="8"/>
        <rFont val="Arial"/>
        <family val="2"/>
      </rPr>
      <t>NH4</t>
    </r>
  </si>
  <si>
    <r>
      <t>-(1-</t>
    </r>
    <r>
      <rPr>
        <i/>
        <sz val="12"/>
        <color indexed="8"/>
        <rFont val="Arial"/>
        <family val="2"/>
      </rPr>
      <t>Y</t>
    </r>
    <r>
      <rPr>
        <vertAlign val="subscript"/>
        <sz val="12"/>
        <color indexed="8"/>
        <rFont val="Arial"/>
        <family val="2"/>
      </rPr>
      <t>PAO1</t>
    </r>
    <r>
      <rPr>
        <sz val="12"/>
        <color indexed="8"/>
        <rFont val="Arial"/>
        <family val="2"/>
      </rPr>
      <t>)</t>
    </r>
    <r>
      <rPr>
        <i/>
        <sz val="12"/>
        <color indexed="8"/>
        <rFont val="Arial"/>
        <family val="2"/>
      </rPr>
      <t>/Y</t>
    </r>
    <r>
      <rPr>
        <vertAlign val="subscript"/>
        <sz val="12"/>
        <color indexed="8"/>
        <rFont val="Arial"/>
        <family val="2"/>
      </rPr>
      <t>PAO1</t>
    </r>
  </si>
  <si>
    <r>
      <t>-</t>
    </r>
    <r>
      <rPr>
        <i/>
        <sz val="12"/>
        <color indexed="10"/>
        <rFont val="Arial"/>
        <family val="2"/>
      </rPr>
      <t>Y</t>
    </r>
    <r>
      <rPr>
        <vertAlign val="subscript"/>
        <sz val="12"/>
        <color indexed="10"/>
        <rFont val="Arial"/>
        <family val="2"/>
      </rPr>
      <t>PP1</t>
    </r>
    <r>
      <rPr>
        <i/>
        <sz val="12"/>
        <color indexed="10"/>
        <rFont val="Arial"/>
        <family val="2"/>
      </rPr>
      <t>/Y</t>
    </r>
    <r>
      <rPr>
        <vertAlign val="subscript"/>
        <sz val="12"/>
        <color indexed="10"/>
        <rFont val="Arial"/>
        <family val="2"/>
      </rPr>
      <t>PAO1</t>
    </r>
    <r>
      <rPr>
        <sz val="12"/>
        <color indexed="10"/>
        <rFont val="Arial"/>
        <family val="2"/>
      </rPr>
      <t>-</t>
    </r>
    <r>
      <rPr>
        <i/>
        <sz val="12"/>
        <color indexed="10"/>
        <rFont val="Arial"/>
        <family val="2"/>
      </rPr>
      <t>i</t>
    </r>
    <r>
      <rPr>
        <vertAlign val="subscript"/>
        <sz val="12"/>
        <color indexed="10"/>
        <rFont val="Arial"/>
        <family val="2"/>
      </rPr>
      <t>PBM</t>
    </r>
  </si>
  <si>
    <r>
      <t>Y</t>
    </r>
    <r>
      <rPr>
        <vertAlign val="subscript"/>
        <sz val="12"/>
        <color indexed="8"/>
        <rFont val="Arial"/>
        <family val="2"/>
      </rPr>
      <t>PP1</t>
    </r>
    <r>
      <rPr>
        <i/>
        <sz val="12"/>
        <color indexed="8"/>
        <rFont val="Arial"/>
        <family val="2"/>
      </rPr>
      <t>/Y</t>
    </r>
    <r>
      <rPr>
        <vertAlign val="subscript"/>
        <sz val="12"/>
        <color indexed="8"/>
        <rFont val="Arial"/>
        <family val="2"/>
      </rPr>
      <t>PAO1</t>
    </r>
  </si>
  <si>
    <r>
      <t>-1/</t>
    </r>
    <r>
      <rPr>
        <i/>
        <sz val="12"/>
        <color indexed="8"/>
        <rFont val="Arial"/>
        <family val="2"/>
      </rPr>
      <t>Y</t>
    </r>
    <r>
      <rPr>
        <vertAlign val="subscript"/>
        <sz val="12"/>
        <color indexed="8"/>
        <rFont val="Arial"/>
        <family val="2"/>
      </rPr>
      <t>PAO1</t>
    </r>
  </si>
  <si>
    <r>
      <t>μ</t>
    </r>
    <r>
      <rPr>
        <vertAlign val="subscript"/>
        <sz val="12"/>
        <color indexed="8"/>
        <rFont val="Arial"/>
        <family val="2"/>
      </rPr>
      <t>PAO1</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PHA1</t>
    </r>
    <r>
      <rPr>
        <sz val="12"/>
        <color indexed="8"/>
        <rFont val="Arial"/>
        <family val="2"/>
      </rPr>
      <t>+(</t>
    </r>
    <r>
      <rPr>
        <i/>
        <sz val="12"/>
        <color indexed="8"/>
        <rFont val="Arial"/>
        <family val="2"/>
      </rPr>
      <t>X</t>
    </r>
    <r>
      <rPr>
        <vertAlign val="subscript"/>
        <sz val="12"/>
        <color indexed="8"/>
        <rFont val="Arial"/>
        <family val="2"/>
      </rPr>
      <t>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PO4,up</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PAO</t>
    </r>
  </si>
  <si>
    <r>
      <t>f</t>
    </r>
    <r>
      <rPr>
        <vertAlign val="subscript"/>
        <sz val="12"/>
        <rFont val="Arial"/>
        <family val="2"/>
      </rPr>
      <t>XE</t>
    </r>
    <r>
      <rPr>
        <b/>
        <vertAlign val="subscript"/>
        <sz val="12"/>
        <rFont val="Arial"/>
        <family val="2"/>
      </rPr>
      <t>-H</t>
    </r>
  </si>
  <si>
    <r>
      <t>Aerobic growth of X</t>
    </r>
    <r>
      <rPr>
        <b/>
        <vertAlign val="subscript"/>
        <sz val="10"/>
        <color indexed="8"/>
        <rFont val="Arial"/>
        <family val="2"/>
      </rPr>
      <t>PAO</t>
    </r>
    <r>
      <rPr>
        <b/>
        <sz val="10"/>
        <color indexed="8"/>
        <rFont val="Arial"/>
        <family val="2"/>
      </rPr>
      <t xml:space="preserve"> on X</t>
    </r>
    <r>
      <rPr>
        <b/>
        <vertAlign val="subscript"/>
        <sz val="10"/>
        <color indexed="8"/>
        <rFont val="Arial"/>
        <family val="2"/>
      </rPr>
      <t>PHA</t>
    </r>
    <r>
      <rPr>
        <b/>
        <sz val="10"/>
        <color indexed="8"/>
        <rFont val="Arial"/>
        <family val="2"/>
      </rPr>
      <t xml:space="preserve"> with S</t>
    </r>
    <r>
      <rPr>
        <b/>
        <vertAlign val="subscript"/>
        <sz val="10"/>
        <color indexed="8"/>
        <rFont val="Arial"/>
        <family val="2"/>
      </rPr>
      <t>NO3</t>
    </r>
  </si>
  <si>
    <r>
      <t>-(1-</t>
    </r>
    <r>
      <rPr>
        <i/>
        <sz val="12"/>
        <color indexed="8"/>
        <rFont val="Arial"/>
        <family val="2"/>
      </rPr>
      <t>Y</t>
    </r>
    <r>
      <rPr>
        <vertAlign val="subscript"/>
        <sz val="12"/>
        <color indexed="8"/>
        <rFont val="Arial"/>
        <family val="2"/>
      </rPr>
      <t>PAO1</t>
    </r>
    <r>
      <rPr>
        <sz val="12"/>
        <color indexed="8"/>
        <rFont val="Arial"/>
        <family val="2"/>
      </rPr>
      <t>)/</t>
    </r>
    <r>
      <rPr>
        <i/>
        <sz val="12"/>
        <color indexed="8"/>
        <rFont val="Arial"/>
        <family val="2"/>
      </rPr>
      <t>Y</t>
    </r>
    <r>
      <rPr>
        <vertAlign val="subscript"/>
        <sz val="12"/>
        <color indexed="8"/>
        <rFont val="Arial"/>
        <family val="2"/>
      </rPr>
      <t>PAO1</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i</t>
    </r>
    <r>
      <rPr>
        <vertAlign val="subscript"/>
        <sz val="12"/>
        <color indexed="10"/>
        <rFont val="Arial"/>
        <family val="2"/>
      </rPr>
      <t>NBM</t>
    </r>
  </si>
  <si>
    <r>
      <t>-</t>
    </r>
    <r>
      <rPr>
        <i/>
        <sz val="12"/>
        <color indexed="8"/>
        <rFont val="Arial"/>
        <family val="2"/>
      </rPr>
      <t>Y</t>
    </r>
    <r>
      <rPr>
        <vertAlign val="subscript"/>
        <sz val="12"/>
        <color indexed="8"/>
        <rFont val="Arial"/>
        <family val="2"/>
      </rPr>
      <t>PP1</t>
    </r>
    <r>
      <rPr>
        <i/>
        <sz val="12"/>
        <color indexed="8"/>
        <rFont val="Arial"/>
        <family val="2"/>
      </rPr>
      <t>/Y</t>
    </r>
    <r>
      <rPr>
        <vertAlign val="subscript"/>
        <sz val="12"/>
        <color indexed="8"/>
        <rFont val="Arial"/>
        <family val="2"/>
      </rPr>
      <t>PAO1</t>
    </r>
    <r>
      <rPr>
        <sz val="12"/>
        <color indexed="8"/>
        <rFont val="Arial"/>
        <family val="2"/>
      </rPr>
      <t>-</t>
    </r>
    <r>
      <rPr>
        <i/>
        <sz val="12"/>
        <color indexed="8"/>
        <rFont val="Arial"/>
        <family val="2"/>
      </rPr>
      <t>i</t>
    </r>
    <r>
      <rPr>
        <vertAlign val="subscript"/>
        <sz val="12"/>
        <color indexed="8"/>
        <rFont val="Arial"/>
        <family val="2"/>
      </rPr>
      <t>PBM</t>
    </r>
  </si>
  <si>
    <r>
      <t>μ</t>
    </r>
    <r>
      <rPr>
        <vertAlign val="subscript"/>
        <sz val="12"/>
        <color indexed="8"/>
        <rFont val="Arial"/>
        <family val="2"/>
      </rPr>
      <t>PAO1</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PHA1</t>
    </r>
    <r>
      <rPr>
        <sz val="12"/>
        <color indexed="8"/>
        <rFont val="Arial"/>
        <family val="2"/>
      </rPr>
      <t>+(</t>
    </r>
    <r>
      <rPr>
        <i/>
        <sz val="12"/>
        <color indexed="8"/>
        <rFont val="Arial"/>
        <family val="2"/>
      </rPr>
      <t>X</t>
    </r>
    <r>
      <rPr>
        <vertAlign val="subscript"/>
        <sz val="12"/>
        <color indexed="8"/>
        <rFont val="Arial"/>
        <family val="2"/>
      </rPr>
      <t>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K</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PO4,up</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PAO</t>
    </r>
  </si>
  <si>
    <r>
      <t>Aerobic growth of X</t>
    </r>
    <r>
      <rPr>
        <b/>
        <vertAlign val="subscript"/>
        <sz val="10"/>
        <color indexed="8"/>
        <rFont val="Arial"/>
        <family val="2"/>
      </rPr>
      <t>PAO</t>
    </r>
    <r>
      <rPr>
        <b/>
        <sz val="10"/>
        <color indexed="8"/>
        <rFont val="Arial"/>
        <family val="2"/>
      </rPr>
      <t xml:space="preserve"> on X</t>
    </r>
    <r>
      <rPr>
        <b/>
        <vertAlign val="subscript"/>
        <sz val="10"/>
        <color indexed="8"/>
        <rFont val="Arial"/>
        <family val="2"/>
      </rPr>
      <t>PHA</t>
    </r>
    <r>
      <rPr>
        <b/>
        <sz val="10"/>
        <color indexed="8"/>
        <rFont val="Arial"/>
        <family val="2"/>
      </rPr>
      <t xml:space="preserve"> with S</t>
    </r>
    <r>
      <rPr>
        <b/>
        <vertAlign val="subscript"/>
        <sz val="10"/>
        <color indexed="8"/>
        <rFont val="Arial"/>
        <family val="2"/>
      </rPr>
      <t xml:space="preserve">NH4 </t>
    </r>
    <r>
      <rPr>
        <b/>
        <sz val="10"/>
        <color indexed="8"/>
        <rFont val="Arial"/>
        <family val="2"/>
      </rPr>
      <t>/ S</t>
    </r>
    <r>
      <rPr>
        <b/>
        <vertAlign val="subscript"/>
        <sz val="10"/>
        <color indexed="8"/>
        <rFont val="Arial"/>
        <family val="2"/>
      </rPr>
      <t>PO4</t>
    </r>
    <r>
      <rPr>
        <b/>
        <sz val="10"/>
        <color indexed="8"/>
        <rFont val="Arial"/>
        <family val="2"/>
      </rPr>
      <t xml:space="preserve"> limited</t>
    </r>
  </si>
  <si>
    <r>
      <t>μ</t>
    </r>
    <r>
      <rPr>
        <vertAlign val="subscript"/>
        <sz val="12"/>
        <color indexed="8"/>
        <rFont val="Arial"/>
        <family val="2"/>
      </rPr>
      <t>PAO2</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PHA2</t>
    </r>
    <r>
      <rPr>
        <sz val="12"/>
        <color indexed="8"/>
        <rFont val="Arial"/>
        <family val="2"/>
      </rPr>
      <t>+(</t>
    </r>
    <r>
      <rPr>
        <i/>
        <sz val="12"/>
        <color indexed="8"/>
        <rFont val="Arial"/>
        <family val="2"/>
      </rPr>
      <t>X</t>
    </r>
    <r>
      <rPr>
        <vertAlign val="subscript"/>
        <sz val="12"/>
        <color indexed="8"/>
        <rFont val="Arial"/>
        <family val="2"/>
      </rPr>
      <t>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PO4,up</t>
    </r>
    <r>
      <rPr>
        <sz val="12"/>
        <color indexed="8"/>
        <rFont val="Arial"/>
        <family val="2"/>
      </rPr>
      <t>/(</t>
    </r>
    <r>
      <rPr>
        <i/>
        <sz val="12"/>
        <color indexed="8"/>
        <rFont val="Arial"/>
        <family val="2"/>
      </rPr>
      <t>K</t>
    </r>
    <r>
      <rPr>
        <vertAlign val="subscript"/>
        <sz val="12"/>
        <color indexed="8"/>
        <rFont val="Arial"/>
        <family val="2"/>
      </rPr>
      <t>PO4,up</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sz val="12"/>
        <color indexed="10"/>
        <rFont val="Arial"/>
        <family val="2"/>
      </rPr>
      <t>[</t>
    </r>
    <r>
      <rPr>
        <i/>
        <sz val="12"/>
        <color indexed="10"/>
        <rFont val="Arial"/>
        <family val="2"/>
      </rPr>
      <t>X</t>
    </r>
    <r>
      <rPr>
        <vertAlign val="subscript"/>
        <sz val="12"/>
        <color indexed="10"/>
        <rFont val="Arial"/>
        <family val="2"/>
      </rPr>
      <t>PP</t>
    </r>
    <r>
      <rPr>
        <sz val="12"/>
        <color indexed="10"/>
        <rFont val="Arial"/>
        <family val="2"/>
      </rPr>
      <t>/(</t>
    </r>
    <r>
      <rPr>
        <i/>
        <sz val="12"/>
        <color indexed="10"/>
        <rFont val="Arial"/>
        <family val="2"/>
      </rPr>
      <t>K</t>
    </r>
    <r>
      <rPr>
        <vertAlign val="subscript"/>
        <sz val="12"/>
        <color indexed="10"/>
        <rFont val="Arial"/>
        <family val="2"/>
      </rPr>
      <t>PP</t>
    </r>
    <r>
      <rPr>
        <sz val="12"/>
        <color indexed="10"/>
        <rFont val="Arial"/>
        <family val="2"/>
      </rPr>
      <t>+</t>
    </r>
    <r>
      <rPr>
        <i/>
        <sz val="12"/>
        <color indexed="10"/>
        <rFont val="Arial"/>
        <family val="2"/>
      </rPr>
      <t>X</t>
    </r>
    <r>
      <rPr>
        <vertAlign val="subscript"/>
        <sz val="12"/>
        <color indexed="10"/>
        <rFont val="Arial"/>
        <family val="2"/>
      </rPr>
      <t>PP</t>
    </r>
    <r>
      <rPr>
        <sz val="12"/>
        <color indexed="10"/>
        <rFont val="Arial"/>
        <family val="2"/>
      </rPr>
      <t>)]</t>
    </r>
    <r>
      <rPr>
        <sz val="12"/>
        <color indexed="8"/>
        <rFont val="Arial"/>
        <family val="2"/>
      </rPr>
      <t>*</t>
    </r>
    <r>
      <rPr>
        <i/>
        <sz val="12"/>
        <color indexed="8"/>
        <rFont val="Arial"/>
        <family val="2"/>
      </rPr>
      <t>X</t>
    </r>
    <r>
      <rPr>
        <vertAlign val="subscript"/>
        <sz val="12"/>
        <color indexed="8"/>
        <rFont val="Arial"/>
        <family val="2"/>
      </rPr>
      <t>PAO</t>
    </r>
  </si>
  <si>
    <r>
      <t>Aerobic growth of X</t>
    </r>
    <r>
      <rPr>
        <b/>
        <vertAlign val="subscript"/>
        <sz val="10"/>
        <color indexed="8"/>
        <rFont val="Arial"/>
        <family val="2"/>
      </rPr>
      <t>PAO</t>
    </r>
    <r>
      <rPr>
        <b/>
        <sz val="10"/>
        <color indexed="8"/>
        <rFont val="Arial"/>
        <family val="2"/>
      </rPr>
      <t xml:space="preserve"> on X</t>
    </r>
    <r>
      <rPr>
        <b/>
        <vertAlign val="subscript"/>
        <sz val="10"/>
        <color indexed="8"/>
        <rFont val="Arial"/>
        <family val="2"/>
      </rPr>
      <t>PHA</t>
    </r>
    <r>
      <rPr>
        <b/>
        <sz val="10"/>
        <color indexed="8"/>
        <rFont val="Arial"/>
        <family val="2"/>
      </rPr>
      <t xml:space="preserve"> with S</t>
    </r>
    <r>
      <rPr>
        <b/>
        <vertAlign val="subscript"/>
        <sz val="10"/>
        <color indexed="8"/>
        <rFont val="Arial"/>
        <family val="2"/>
      </rPr>
      <t xml:space="preserve">NO3 </t>
    </r>
    <r>
      <rPr>
        <b/>
        <sz val="10"/>
        <color indexed="8"/>
        <rFont val="Arial"/>
        <family val="2"/>
      </rPr>
      <t>/ S</t>
    </r>
    <r>
      <rPr>
        <b/>
        <vertAlign val="subscript"/>
        <sz val="10"/>
        <color indexed="8"/>
        <rFont val="Arial"/>
        <family val="2"/>
      </rPr>
      <t>PO4</t>
    </r>
    <r>
      <rPr>
        <b/>
        <sz val="10"/>
        <color indexed="8"/>
        <rFont val="Arial"/>
        <family val="2"/>
      </rPr>
      <t xml:space="preserve"> limited</t>
    </r>
  </si>
  <si>
    <r>
      <t>μ</t>
    </r>
    <r>
      <rPr>
        <vertAlign val="subscript"/>
        <sz val="12"/>
        <color indexed="8"/>
        <rFont val="Arial"/>
        <family val="2"/>
      </rPr>
      <t>PAO2</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PHA2</t>
    </r>
    <r>
      <rPr>
        <sz val="12"/>
        <color indexed="8"/>
        <rFont val="Arial"/>
        <family val="2"/>
      </rPr>
      <t>+(</t>
    </r>
    <r>
      <rPr>
        <i/>
        <sz val="12"/>
        <color indexed="8"/>
        <rFont val="Arial"/>
        <family val="2"/>
      </rPr>
      <t>X</t>
    </r>
    <r>
      <rPr>
        <vertAlign val="subscript"/>
        <sz val="12"/>
        <color indexed="8"/>
        <rFont val="Arial"/>
        <family val="2"/>
      </rPr>
      <t>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K</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K</t>
    </r>
    <r>
      <rPr>
        <vertAlign val="subscript"/>
        <sz val="12"/>
        <color indexed="8"/>
        <rFont val="Arial"/>
        <family val="2"/>
      </rPr>
      <t>PO4,up</t>
    </r>
    <r>
      <rPr>
        <sz val="12"/>
        <color indexed="8"/>
        <rFont val="Arial"/>
        <family val="2"/>
      </rPr>
      <t>/(</t>
    </r>
    <r>
      <rPr>
        <i/>
        <sz val="12"/>
        <color indexed="8"/>
        <rFont val="Arial"/>
        <family val="2"/>
      </rPr>
      <t>K</t>
    </r>
    <r>
      <rPr>
        <vertAlign val="subscript"/>
        <sz val="12"/>
        <color indexed="8"/>
        <rFont val="Arial"/>
        <family val="2"/>
      </rPr>
      <t>PO4,up</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sz val="12"/>
        <color indexed="10"/>
        <rFont val="Arial"/>
        <family val="2"/>
      </rPr>
      <t>[</t>
    </r>
    <r>
      <rPr>
        <i/>
        <sz val="12"/>
        <color indexed="10"/>
        <rFont val="Arial"/>
        <family val="2"/>
      </rPr>
      <t>X</t>
    </r>
    <r>
      <rPr>
        <vertAlign val="subscript"/>
        <sz val="12"/>
        <color indexed="10"/>
        <rFont val="Arial"/>
        <family val="2"/>
      </rPr>
      <t>PP</t>
    </r>
    <r>
      <rPr>
        <sz val="12"/>
        <color indexed="10"/>
        <rFont val="Arial"/>
        <family val="2"/>
      </rPr>
      <t>/(</t>
    </r>
    <r>
      <rPr>
        <i/>
        <sz val="12"/>
        <color indexed="10"/>
        <rFont val="Arial"/>
        <family val="2"/>
      </rPr>
      <t>K</t>
    </r>
    <r>
      <rPr>
        <vertAlign val="subscript"/>
        <sz val="12"/>
        <color indexed="10"/>
        <rFont val="Arial"/>
        <family val="2"/>
      </rPr>
      <t>PP</t>
    </r>
    <r>
      <rPr>
        <sz val="12"/>
        <color indexed="10"/>
        <rFont val="Arial"/>
        <family val="2"/>
      </rPr>
      <t>+</t>
    </r>
    <r>
      <rPr>
        <i/>
        <sz val="12"/>
        <color indexed="10"/>
        <rFont val="Arial"/>
        <family val="2"/>
      </rPr>
      <t>X</t>
    </r>
    <r>
      <rPr>
        <vertAlign val="subscript"/>
        <sz val="12"/>
        <color indexed="10"/>
        <rFont val="Arial"/>
        <family val="2"/>
      </rPr>
      <t>PP</t>
    </r>
    <r>
      <rPr>
        <sz val="12"/>
        <color indexed="10"/>
        <rFont val="Arial"/>
        <family val="2"/>
      </rPr>
      <t>)]</t>
    </r>
    <r>
      <rPr>
        <sz val="12"/>
        <color indexed="8"/>
        <rFont val="Arial"/>
        <family val="2"/>
      </rPr>
      <t>*</t>
    </r>
    <r>
      <rPr>
        <i/>
        <sz val="12"/>
        <color indexed="8"/>
        <rFont val="Arial"/>
        <family val="2"/>
      </rPr>
      <t>X</t>
    </r>
    <r>
      <rPr>
        <vertAlign val="subscript"/>
        <sz val="12"/>
        <color indexed="8"/>
        <rFont val="Arial"/>
        <family val="2"/>
      </rPr>
      <t>PAO</t>
    </r>
  </si>
  <si>
    <r>
      <t>Anoxic growth of X</t>
    </r>
    <r>
      <rPr>
        <b/>
        <vertAlign val="subscript"/>
        <sz val="10"/>
        <color indexed="8"/>
        <rFont val="Arial"/>
        <family val="2"/>
      </rPr>
      <t>PAO</t>
    </r>
    <r>
      <rPr>
        <b/>
        <sz val="10"/>
        <color indexed="8"/>
        <rFont val="Arial"/>
        <family val="2"/>
      </rPr>
      <t xml:space="preserve"> on S</t>
    </r>
    <r>
      <rPr>
        <b/>
        <vertAlign val="subscript"/>
        <sz val="10"/>
        <color indexed="8"/>
        <rFont val="Arial"/>
        <family val="2"/>
      </rPr>
      <t>PHA</t>
    </r>
    <r>
      <rPr>
        <b/>
        <sz val="10"/>
        <color indexed="8"/>
        <rFont val="Arial"/>
        <family val="2"/>
      </rPr>
      <t xml:space="preserve"> with S</t>
    </r>
    <r>
      <rPr>
        <b/>
        <vertAlign val="subscript"/>
        <sz val="10"/>
        <color indexed="8"/>
        <rFont val="Arial"/>
        <family val="2"/>
      </rPr>
      <t>NH4</t>
    </r>
  </si>
  <si>
    <r>
      <t>-(1-</t>
    </r>
    <r>
      <rPr>
        <i/>
        <sz val="12"/>
        <color indexed="8"/>
        <rFont val="Arial"/>
        <family val="2"/>
      </rPr>
      <t>Y</t>
    </r>
    <r>
      <rPr>
        <vertAlign val="subscript"/>
        <sz val="12"/>
        <color indexed="8"/>
        <rFont val="Arial"/>
        <family val="2"/>
      </rPr>
      <t>PAO2</t>
    </r>
    <r>
      <rPr>
        <sz val="12"/>
        <color indexed="8"/>
        <rFont val="Arial"/>
        <family val="2"/>
      </rPr>
      <t>)/(</t>
    </r>
    <r>
      <rPr>
        <i/>
        <sz val="12"/>
        <color indexed="8"/>
        <rFont val="Arial"/>
        <family val="2"/>
      </rPr>
      <t>i</t>
    </r>
    <r>
      <rPr>
        <vertAlign val="subscript"/>
        <sz val="12"/>
        <color indexed="8"/>
        <rFont val="Arial"/>
        <family val="2"/>
      </rPr>
      <t>NOx,N2</t>
    </r>
    <r>
      <rPr>
        <sz val="12"/>
        <color indexed="8"/>
        <rFont val="Arial"/>
        <family val="2"/>
      </rPr>
      <t>*</t>
    </r>
    <r>
      <rPr>
        <i/>
        <sz val="12"/>
        <color indexed="8"/>
        <rFont val="Arial"/>
        <family val="2"/>
      </rPr>
      <t>Y</t>
    </r>
    <r>
      <rPr>
        <vertAlign val="subscript"/>
        <sz val="12"/>
        <color indexed="8"/>
        <rFont val="Arial"/>
        <family val="2"/>
      </rPr>
      <t>PAO2</t>
    </r>
    <r>
      <rPr>
        <sz val="12"/>
        <color indexed="8"/>
        <rFont val="Arial"/>
        <family val="2"/>
      </rPr>
      <t>)</t>
    </r>
  </si>
  <si>
    <r>
      <t>-</t>
    </r>
    <r>
      <rPr>
        <i/>
        <sz val="12"/>
        <color indexed="8"/>
        <rFont val="Arial"/>
        <family val="2"/>
      </rPr>
      <t>Y</t>
    </r>
    <r>
      <rPr>
        <vertAlign val="subscript"/>
        <sz val="12"/>
        <color indexed="8"/>
        <rFont val="Arial"/>
        <family val="2"/>
      </rPr>
      <t>PP2</t>
    </r>
    <r>
      <rPr>
        <i/>
        <sz val="12"/>
        <color indexed="8"/>
        <rFont val="Arial"/>
        <family val="2"/>
      </rPr>
      <t>/Y</t>
    </r>
    <r>
      <rPr>
        <vertAlign val="subscript"/>
        <sz val="12"/>
        <color indexed="8"/>
        <rFont val="Arial"/>
        <family val="2"/>
      </rPr>
      <t>PAO2</t>
    </r>
    <r>
      <rPr>
        <sz val="12"/>
        <color indexed="8"/>
        <rFont val="Arial"/>
        <family val="2"/>
      </rPr>
      <t>-</t>
    </r>
    <r>
      <rPr>
        <i/>
        <sz val="12"/>
        <color indexed="8"/>
        <rFont val="Arial"/>
        <family val="2"/>
      </rPr>
      <t>i</t>
    </r>
    <r>
      <rPr>
        <vertAlign val="subscript"/>
        <sz val="12"/>
        <color indexed="8"/>
        <rFont val="Arial"/>
        <family val="2"/>
      </rPr>
      <t>PBM</t>
    </r>
  </si>
  <si>
    <r>
      <t>Y</t>
    </r>
    <r>
      <rPr>
        <vertAlign val="subscript"/>
        <sz val="12"/>
        <color indexed="8"/>
        <rFont val="Arial"/>
        <family val="2"/>
      </rPr>
      <t>PP2</t>
    </r>
    <r>
      <rPr>
        <i/>
        <sz val="12"/>
        <color indexed="8"/>
        <rFont val="Arial"/>
        <family val="2"/>
      </rPr>
      <t>/Y</t>
    </r>
    <r>
      <rPr>
        <vertAlign val="subscript"/>
        <sz val="12"/>
        <color indexed="8"/>
        <rFont val="Arial"/>
        <family val="2"/>
      </rPr>
      <t>PAO2</t>
    </r>
  </si>
  <si>
    <r>
      <t>-1/</t>
    </r>
    <r>
      <rPr>
        <i/>
        <sz val="12"/>
        <color indexed="8"/>
        <rFont val="Arial"/>
        <family val="2"/>
      </rPr>
      <t>Y</t>
    </r>
    <r>
      <rPr>
        <vertAlign val="subscript"/>
        <sz val="12"/>
        <color indexed="8"/>
        <rFont val="Arial"/>
        <family val="2"/>
      </rPr>
      <t>PAO2</t>
    </r>
  </si>
  <si>
    <r>
      <t>(1-</t>
    </r>
    <r>
      <rPr>
        <i/>
        <sz val="12"/>
        <color indexed="10"/>
        <rFont val="Arial"/>
        <family val="2"/>
      </rPr>
      <t>Y</t>
    </r>
    <r>
      <rPr>
        <vertAlign val="subscript"/>
        <sz val="12"/>
        <color indexed="10"/>
        <rFont val="Arial"/>
        <family val="2"/>
      </rPr>
      <t>PAO2</t>
    </r>
    <r>
      <rPr>
        <sz val="12"/>
        <color indexed="10"/>
        <rFont val="Arial"/>
        <family val="2"/>
      </rPr>
      <t>)/(</t>
    </r>
    <r>
      <rPr>
        <i/>
        <sz val="12"/>
        <color indexed="10"/>
        <rFont val="Arial"/>
        <family val="2"/>
      </rPr>
      <t>i</t>
    </r>
    <r>
      <rPr>
        <vertAlign val="subscript"/>
        <sz val="12"/>
        <color indexed="10"/>
        <rFont val="Arial"/>
        <family val="2"/>
      </rPr>
      <t>NOx,N2</t>
    </r>
    <r>
      <rPr>
        <sz val="12"/>
        <color indexed="10"/>
        <rFont val="Arial"/>
        <family val="2"/>
      </rPr>
      <t>*</t>
    </r>
    <r>
      <rPr>
        <i/>
        <sz val="12"/>
        <color indexed="10"/>
        <rFont val="Arial"/>
        <family val="2"/>
      </rPr>
      <t>Y</t>
    </r>
    <r>
      <rPr>
        <vertAlign val="subscript"/>
        <sz val="12"/>
        <color indexed="10"/>
        <rFont val="Arial"/>
        <family val="2"/>
      </rPr>
      <t>PAO2</t>
    </r>
    <r>
      <rPr>
        <sz val="12"/>
        <color indexed="10"/>
        <rFont val="Arial"/>
        <family val="2"/>
      </rPr>
      <t>)</t>
    </r>
  </si>
  <si>
    <r>
      <t>η</t>
    </r>
    <r>
      <rPr>
        <vertAlign val="subscript"/>
        <sz val="12"/>
        <color indexed="8"/>
        <rFont val="Arial"/>
        <family val="2"/>
      </rPr>
      <t>PAO</t>
    </r>
    <r>
      <rPr>
        <sz val="12"/>
        <color indexed="8"/>
        <rFont val="Arial"/>
        <family val="2"/>
      </rPr>
      <t>*</t>
    </r>
    <r>
      <rPr>
        <i/>
        <sz val="12"/>
        <color indexed="8"/>
        <rFont val="Arial"/>
        <family val="2"/>
      </rPr>
      <t>μ</t>
    </r>
    <r>
      <rPr>
        <vertAlign val="subscript"/>
        <sz val="12"/>
        <color indexed="8"/>
        <rFont val="Arial"/>
        <family val="2"/>
      </rPr>
      <t>PAO1</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PHA1</t>
    </r>
    <r>
      <rPr>
        <sz val="12"/>
        <color indexed="8"/>
        <rFont val="Arial"/>
        <family val="2"/>
      </rPr>
      <t>+(</t>
    </r>
    <r>
      <rPr>
        <i/>
        <sz val="12"/>
        <color indexed="8"/>
        <rFont val="Arial"/>
        <family val="2"/>
      </rPr>
      <t>X</t>
    </r>
    <r>
      <rPr>
        <vertAlign val="subscript"/>
        <sz val="12"/>
        <color indexed="8"/>
        <rFont val="Arial"/>
        <family val="2"/>
      </rPr>
      <t>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K</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PO4,up</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PAO</t>
    </r>
  </si>
  <si>
    <r>
      <t>Anoxic growth of X</t>
    </r>
    <r>
      <rPr>
        <b/>
        <vertAlign val="subscript"/>
        <sz val="10"/>
        <color indexed="8"/>
        <rFont val="Arial"/>
        <family val="2"/>
      </rPr>
      <t>PAO</t>
    </r>
    <r>
      <rPr>
        <b/>
        <sz val="10"/>
        <color indexed="8"/>
        <rFont val="Arial"/>
        <family val="2"/>
      </rPr>
      <t xml:space="preserve"> on S</t>
    </r>
    <r>
      <rPr>
        <b/>
        <vertAlign val="subscript"/>
        <sz val="10"/>
        <color indexed="8"/>
        <rFont val="Arial"/>
        <family val="2"/>
      </rPr>
      <t>PHA</t>
    </r>
    <r>
      <rPr>
        <b/>
        <sz val="10"/>
        <color indexed="8"/>
        <rFont val="Arial"/>
        <family val="2"/>
      </rPr>
      <t xml:space="preserve"> with S</t>
    </r>
    <r>
      <rPr>
        <b/>
        <vertAlign val="subscript"/>
        <sz val="10"/>
        <color indexed="8"/>
        <rFont val="Arial"/>
        <family val="2"/>
      </rPr>
      <t>N03</t>
    </r>
  </si>
  <si>
    <r>
      <t>-(1-</t>
    </r>
    <r>
      <rPr>
        <i/>
        <sz val="12"/>
        <color indexed="8"/>
        <rFont val="Arial"/>
        <family val="2"/>
      </rPr>
      <t>Y</t>
    </r>
    <r>
      <rPr>
        <vertAlign val="subscript"/>
        <sz val="12"/>
        <color indexed="8"/>
        <rFont val="Arial"/>
        <family val="2"/>
      </rPr>
      <t>PAO2</t>
    </r>
    <r>
      <rPr>
        <sz val="12"/>
        <color indexed="8"/>
        <rFont val="Arial"/>
        <family val="2"/>
      </rPr>
      <t>)/(</t>
    </r>
    <r>
      <rPr>
        <i/>
        <sz val="12"/>
        <color indexed="8"/>
        <rFont val="Arial"/>
        <family val="2"/>
      </rPr>
      <t>i</t>
    </r>
    <r>
      <rPr>
        <vertAlign val="subscript"/>
        <sz val="12"/>
        <color indexed="8"/>
        <rFont val="Arial"/>
        <family val="2"/>
      </rPr>
      <t>NOx,N2</t>
    </r>
    <r>
      <rPr>
        <sz val="12"/>
        <color indexed="8"/>
        <rFont val="Arial"/>
        <family val="2"/>
      </rPr>
      <t>*</t>
    </r>
    <r>
      <rPr>
        <i/>
        <sz val="12"/>
        <color indexed="8"/>
        <rFont val="Arial"/>
        <family val="2"/>
      </rPr>
      <t>Y</t>
    </r>
    <r>
      <rPr>
        <vertAlign val="subscript"/>
        <sz val="12"/>
        <color indexed="8"/>
        <rFont val="Arial"/>
        <family val="2"/>
      </rPr>
      <t>PAO2</t>
    </r>
    <r>
      <rPr>
        <sz val="12"/>
        <color indexed="8"/>
        <rFont val="Arial"/>
        <family val="2"/>
      </rPr>
      <t>)-</t>
    </r>
    <r>
      <rPr>
        <i/>
        <sz val="12"/>
        <color indexed="8"/>
        <rFont val="Arial"/>
        <family val="2"/>
      </rPr>
      <t>i</t>
    </r>
    <r>
      <rPr>
        <vertAlign val="subscript"/>
        <sz val="12"/>
        <color indexed="8"/>
        <rFont val="Arial"/>
        <family val="2"/>
      </rPr>
      <t>NBM</t>
    </r>
  </si>
  <si>
    <r>
      <t>-1/</t>
    </r>
    <r>
      <rPr>
        <i/>
        <sz val="12"/>
        <color indexed="8"/>
        <rFont val="Arial"/>
        <family val="2"/>
      </rPr>
      <t>Y</t>
    </r>
    <r>
      <rPr>
        <vertAlign val="subscript"/>
        <sz val="12"/>
        <color indexed="8"/>
        <rFont val="Arial"/>
        <family val="2"/>
      </rPr>
      <t>PAO2</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i</t>
    </r>
    <r>
      <rPr>
        <vertAlign val="subscript"/>
        <sz val="12"/>
        <color indexed="10"/>
        <rFont val="Arial"/>
        <family val="2"/>
      </rPr>
      <t>NBM</t>
    </r>
  </si>
  <si>
    <r>
      <t>η</t>
    </r>
    <r>
      <rPr>
        <vertAlign val="subscript"/>
        <sz val="12"/>
        <color indexed="8"/>
        <rFont val="Arial"/>
        <family val="2"/>
      </rPr>
      <t>PAO</t>
    </r>
    <r>
      <rPr>
        <sz val="12"/>
        <color indexed="8"/>
        <rFont val="Arial"/>
        <family val="2"/>
      </rPr>
      <t>*</t>
    </r>
    <r>
      <rPr>
        <i/>
        <sz val="12"/>
        <color indexed="8"/>
        <rFont val="Arial"/>
        <family val="2"/>
      </rPr>
      <t>μ</t>
    </r>
    <r>
      <rPr>
        <vertAlign val="subscript"/>
        <sz val="12"/>
        <color indexed="8"/>
        <rFont val="Arial"/>
        <family val="2"/>
      </rPr>
      <t>PAO1</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PHA1</t>
    </r>
    <r>
      <rPr>
        <sz val="12"/>
        <color indexed="8"/>
        <rFont val="Arial"/>
        <family val="2"/>
      </rPr>
      <t>+(</t>
    </r>
    <r>
      <rPr>
        <i/>
        <sz val="12"/>
        <color indexed="8"/>
        <rFont val="Arial"/>
        <family val="2"/>
      </rPr>
      <t>X</t>
    </r>
    <r>
      <rPr>
        <vertAlign val="subscript"/>
        <sz val="12"/>
        <color indexed="8"/>
        <rFont val="Arial"/>
        <family val="2"/>
      </rPr>
      <t>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K</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NH4</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K</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PO4,up</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PAO</t>
    </r>
  </si>
  <si>
    <r>
      <t>-(1-</t>
    </r>
    <r>
      <rPr>
        <i/>
        <sz val="12"/>
        <color indexed="8"/>
        <rFont val="Arial"/>
        <family val="2"/>
      </rPr>
      <t>f</t>
    </r>
    <r>
      <rPr>
        <vertAlign val="subscript"/>
        <sz val="12"/>
        <color indexed="8"/>
        <rFont val="Arial"/>
        <family val="2"/>
      </rPr>
      <t>XE,PAO</t>
    </r>
    <r>
      <rPr>
        <i/>
        <sz val="12"/>
        <color indexed="8"/>
        <rFont val="Arial"/>
        <family val="2"/>
      </rPr>
      <t>-f</t>
    </r>
    <r>
      <rPr>
        <vertAlign val="subscript"/>
        <sz val="12"/>
        <color indexed="8"/>
        <rFont val="Arial"/>
        <family val="2"/>
      </rPr>
      <t>SI,PAO</t>
    </r>
    <r>
      <rPr>
        <sz val="12"/>
        <color indexed="8"/>
        <rFont val="Arial"/>
        <family val="2"/>
      </rPr>
      <t>)</t>
    </r>
  </si>
  <si>
    <r>
      <t>i</t>
    </r>
    <r>
      <rPr>
        <vertAlign val="subscript"/>
        <sz val="12"/>
        <color indexed="8"/>
        <rFont val="Arial"/>
        <family val="2"/>
      </rPr>
      <t>NBM</t>
    </r>
    <r>
      <rPr>
        <i/>
        <sz val="12"/>
        <color indexed="8"/>
        <rFont val="Arial"/>
        <family val="2"/>
      </rPr>
      <t>-f</t>
    </r>
    <r>
      <rPr>
        <vertAlign val="subscript"/>
        <sz val="12"/>
        <color indexed="8"/>
        <rFont val="Arial"/>
        <family val="2"/>
      </rPr>
      <t>XE,PAO</t>
    </r>
    <r>
      <rPr>
        <sz val="12"/>
        <color indexed="8"/>
        <rFont val="Arial"/>
        <family val="2"/>
      </rPr>
      <t>*</t>
    </r>
    <r>
      <rPr>
        <i/>
        <sz val="12"/>
        <color indexed="57"/>
        <rFont val="Arial"/>
        <family val="2"/>
      </rPr>
      <t>i</t>
    </r>
    <r>
      <rPr>
        <vertAlign val="subscript"/>
        <sz val="12"/>
        <color indexed="57"/>
        <rFont val="Arial"/>
        <family val="2"/>
      </rPr>
      <t>NXE</t>
    </r>
    <r>
      <rPr>
        <sz val="12"/>
        <color indexed="8"/>
        <rFont val="Arial"/>
        <family val="2"/>
      </rPr>
      <t>-</t>
    </r>
    <r>
      <rPr>
        <i/>
        <sz val="12"/>
        <color indexed="8"/>
        <rFont val="Arial"/>
        <family val="2"/>
      </rPr>
      <t>f</t>
    </r>
    <r>
      <rPr>
        <vertAlign val="subscript"/>
        <sz val="12"/>
        <color indexed="8"/>
        <rFont val="Arial"/>
        <family val="2"/>
      </rPr>
      <t>SI,PAO</t>
    </r>
    <r>
      <rPr>
        <sz val="12"/>
        <color indexed="8"/>
        <rFont val="Arial"/>
        <family val="2"/>
      </rPr>
      <t>*</t>
    </r>
    <r>
      <rPr>
        <i/>
        <sz val="12"/>
        <color indexed="8"/>
        <rFont val="Arial"/>
        <family val="2"/>
      </rPr>
      <t>i</t>
    </r>
    <r>
      <rPr>
        <vertAlign val="subscript"/>
        <sz val="12"/>
        <color indexed="8"/>
        <rFont val="Arial"/>
        <family val="2"/>
      </rPr>
      <t>NSI</t>
    </r>
  </si>
  <si>
    <r>
      <t>i</t>
    </r>
    <r>
      <rPr>
        <vertAlign val="subscript"/>
        <sz val="12"/>
        <color indexed="8"/>
        <rFont val="Arial"/>
        <family val="2"/>
      </rPr>
      <t>PBM</t>
    </r>
    <r>
      <rPr>
        <i/>
        <sz val="12"/>
        <color indexed="8"/>
        <rFont val="Arial"/>
        <family val="2"/>
      </rPr>
      <t>-f</t>
    </r>
    <r>
      <rPr>
        <vertAlign val="subscript"/>
        <sz val="12"/>
        <color indexed="8"/>
        <rFont val="Arial"/>
        <family val="2"/>
      </rPr>
      <t>XE,PAO</t>
    </r>
    <r>
      <rPr>
        <sz val="12"/>
        <color indexed="8"/>
        <rFont val="Arial"/>
        <family val="2"/>
      </rPr>
      <t>*</t>
    </r>
    <r>
      <rPr>
        <i/>
        <sz val="12"/>
        <color indexed="57"/>
        <rFont val="Arial"/>
        <family val="2"/>
      </rPr>
      <t>i</t>
    </r>
    <r>
      <rPr>
        <vertAlign val="subscript"/>
        <sz val="12"/>
        <color indexed="57"/>
        <rFont val="Arial"/>
        <family val="2"/>
      </rPr>
      <t>PXE</t>
    </r>
    <r>
      <rPr>
        <sz val="12"/>
        <color indexed="10"/>
        <rFont val="Arial"/>
        <family val="2"/>
      </rPr>
      <t>-</t>
    </r>
    <r>
      <rPr>
        <i/>
        <sz val="12"/>
        <color indexed="10"/>
        <rFont val="Arial"/>
        <family val="2"/>
      </rPr>
      <t>f</t>
    </r>
    <r>
      <rPr>
        <vertAlign val="subscript"/>
        <sz val="12"/>
        <color indexed="10"/>
        <rFont val="Arial"/>
        <family val="2"/>
      </rPr>
      <t>SI,PAO</t>
    </r>
    <r>
      <rPr>
        <b/>
        <sz val="12"/>
        <color indexed="10"/>
        <rFont val="Arial"/>
        <family val="2"/>
      </rPr>
      <t>*</t>
    </r>
    <r>
      <rPr>
        <i/>
        <sz val="12"/>
        <color indexed="10"/>
        <rFont val="Arial"/>
        <family val="2"/>
      </rPr>
      <t>i</t>
    </r>
    <r>
      <rPr>
        <vertAlign val="subscript"/>
        <sz val="12"/>
        <color indexed="10"/>
        <rFont val="Arial"/>
        <family val="2"/>
      </rPr>
      <t>PSI</t>
    </r>
  </si>
  <si>
    <r>
      <t>b</t>
    </r>
    <r>
      <rPr>
        <vertAlign val="subscript"/>
        <sz val="12"/>
        <color indexed="8"/>
        <rFont val="Arial"/>
        <family val="2"/>
      </rPr>
      <t>PAO</t>
    </r>
    <r>
      <rPr>
        <sz val="10"/>
        <color indexed="8"/>
        <rFont val="Arial"/>
        <family val="2"/>
      </rPr>
      <t>*</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OH</t>
    </r>
    <r>
      <rPr>
        <sz val="10"/>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sz val="10"/>
        <color indexed="8"/>
        <rFont val="Arial"/>
        <family val="2"/>
      </rPr>
      <t>*</t>
    </r>
    <r>
      <rPr>
        <i/>
        <sz val="12"/>
        <color indexed="8"/>
        <rFont val="Arial"/>
        <family val="2"/>
      </rPr>
      <t>X</t>
    </r>
    <r>
      <rPr>
        <vertAlign val="subscript"/>
        <sz val="12"/>
        <color indexed="8"/>
        <rFont val="Arial"/>
        <family val="2"/>
      </rPr>
      <t>PAO</t>
    </r>
  </si>
  <si>
    <r>
      <t>f</t>
    </r>
    <r>
      <rPr>
        <vertAlign val="subscript"/>
        <sz val="12"/>
        <rFont val="Arial"/>
        <family val="2"/>
      </rPr>
      <t>XE</t>
    </r>
    <r>
      <rPr>
        <b/>
        <vertAlign val="subscript"/>
        <sz val="12"/>
        <rFont val="Arial"/>
        <family val="2"/>
      </rPr>
      <t>-</t>
    </r>
    <r>
      <rPr>
        <vertAlign val="subscript"/>
        <sz val="12"/>
        <rFont val="Arial"/>
        <family val="2"/>
      </rPr>
      <t>PAO</t>
    </r>
  </si>
  <si>
    <r>
      <t>X</t>
    </r>
    <r>
      <rPr>
        <b/>
        <vertAlign val="subscript"/>
        <sz val="10"/>
        <color indexed="8"/>
        <rFont val="Arial"/>
        <family val="2"/>
      </rPr>
      <t xml:space="preserve">PP </t>
    </r>
    <r>
      <rPr>
        <b/>
        <sz val="10"/>
        <color indexed="8"/>
        <rFont val="Arial"/>
        <family val="2"/>
      </rPr>
      <t>lysis on aerobic decay</t>
    </r>
  </si>
  <si>
    <r>
      <t>b</t>
    </r>
    <r>
      <rPr>
        <vertAlign val="subscript"/>
        <sz val="12"/>
        <color indexed="8"/>
        <rFont val="Arial"/>
        <family val="2"/>
      </rPr>
      <t>PAO</t>
    </r>
    <r>
      <rPr>
        <sz val="10"/>
        <color indexed="8"/>
        <rFont val="Arial"/>
        <family val="2"/>
      </rPr>
      <t>*</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OH</t>
    </r>
    <r>
      <rPr>
        <sz val="10"/>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sz val="10"/>
        <color indexed="8"/>
        <rFont val="Arial"/>
        <family val="2"/>
      </rPr>
      <t>*</t>
    </r>
    <r>
      <rPr>
        <sz val="12"/>
        <color indexed="8"/>
        <rFont val="Arial"/>
        <family val="2"/>
      </rPr>
      <t>[</t>
    </r>
    <r>
      <rPr>
        <i/>
        <sz val="12"/>
        <color indexed="8"/>
        <rFont val="Arial"/>
        <family val="2"/>
      </rPr>
      <t>X</t>
    </r>
    <r>
      <rPr>
        <vertAlign val="subscript"/>
        <sz val="12"/>
        <color indexed="8"/>
        <rFont val="Arial"/>
        <family val="2"/>
      </rPr>
      <t>PP</t>
    </r>
    <r>
      <rPr>
        <sz val="10"/>
        <color indexed="8"/>
        <rFont val="Arial"/>
        <family val="2"/>
      </rPr>
      <t>/</t>
    </r>
    <r>
      <rPr>
        <i/>
        <sz val="12"/>
        <color indexed="8"/>
        <rFont val="Arial"/>
        <family val="2"/>
      </rPr>
      <t>X</t>
    </r>
    <r>
      <rPr>
        <vertAlign val="subscript"/>
        <sz val="12"/>
        <color indexed="8"/>
        <rFont val="Arial"/>
        <family val="2"/>
      </rPr>
      <t>PAO</t>
    </r>
    <r>
      <rPr>
        <sz val="10"/>
        <color indexed="8"/>
        <rFont val="Arial"/>
        <family val="2"/>
      </rPr>
      <t>]*</t>
    </r>
    <r>
      <rPr>
        <i/>
        <sz val="12"/>
        <color indexed="8"/>
        <rFont val="Arial"/>
        <family val="2"/>
      </rPr>
      <t>X</t>
    </r>
    <r>
      <rPr>
        <vertAlign val="subscript"/>
        <sz val="12"/>
        <color indexed="8"/>
        <rFont val="Arial"/>
        <family val="2"/>
      </rPr>
      <t>PAO</t>
    </r>
  </si>
  <si>
    <r>
      <t>f</t>
    </r>
    <r>
      <rPr>
        <vertAlign val="subscript"/>
        <sz val="12"/>
        <rFont val="Arial"/>
        <family val="2"/>
      </rPr>
      <t>SI</t>
    </r>
    <r>
      <rPr>
        <b/>
        <vertAlign val="subscript"/>
        <sz val="12"/>
        <rFont val="Arial"/>
        <family val="2"/>
      </rPr>
      <t>-</t>
    </r>
    <r>
      <rPr>
        <vertAlign val="subscript"/>
        <sz val="12"/>
        <rFont val="Arial"/>
        <family val="2"/>
      </rPr>
      <t>P</t>
    </r>
    <r>
      <rPr>
        <vertAlign val="subscript"/>
        <sz val="12"/>
        <color indexed="8"/>
        <rFont val="Arial"/>
        <family val="2"/>
      </rPr>
      <t>AO</t>
    </r>
  </si>
  <si>
    <r>
      <t>X</t>
    </r>
    <r>
      <rPr>
        <b/>
        <vertAlign val="subscript"/>
        <sz val="10"/>
        <color indexed="8"/>
        <rFont val="Arial"/>
        <family val="2"/>
      </rPr>
      <t xml:space="preserve">PHA </t>
    </r>
    <r>
      <rPr>
        <b/>
        <sz val="10"/>
        <color indexed="8"/>
        <rFont val="Arial"/>
        <family val="2"/>
      </rPr>
      <t>lysis on aerobic decay</t>
    </r>
  </si>
  <si>
    <r>
      <t>-</t>
    </r>
    <r>
      <rPr>
        <i/>
        <sz val="12"/>
        <color indexed="8"/>
        <rFont val="Arial"/>
        <family val="2"/>
      </rPr>
      <t>i</t>
    </r>
    <r>
      <rPr>
        <vertAlign val="subscript"/>
        <sz val="12"/>
        <color indexed="8"/>
        <rFont val="Arial"/>
        <family val="2"/>
      </rPr>
      <t>NENM</t>
    </r>
  </si>
  <si>
    <r>
      <t>-</t>
    </r>
    <r>
      <rPr>
        <i/>
        <sz val="12"/>
        <color indexed="10"/>
        <rFont val="Arial"/>
        <family val="2"/>
      </rPr>
      <t>i</t>
    </r>
    <r>
      <rPr>
        <vertAlign val="subscript"/>
        <sz val="12"/>
        <color indexed="10"/>
        <rFont val="Arial"/>
        <family val="2"/>
      </rPr>
      <t>PENM</t>
    </r>
  </si>
  <si>
    <r>
      <t>b</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NH4</t>
    </r>
    <r>
      <rPr>
        <sz val="12"/>
        <color indexed="10"/>
        <rFont val="Arial"/>
        <family val="2"/>
      </rPr>
      <t>/(</t>
    </r>
    <r>
      <rPr>
        <i/>
        <sz val="12"/>
        <color indexed="10"/>
        <rFont val="Arial"/>
        <family val="2"/>
      </rPr>
      <t>K</t>
    </r>
    <r>
      <rPr>
        <vertAlign val="subscript"/>
        <sz val="12"/>
        <color indexed="10"/>
        <rFont val="Arial"/>
        <family val="2"/>
      </rPr>
      <t>NH4</t>
    </r>
    <r>
      <rPr>
        <sz val="12"/>
        <color indexed="10"/>
        <rFont val="Arial"/>
        <family val="2"/>
      </rPr>
      <t>+</t>
    </r>
    <r>
      <rPr>
        <i/>
        <sz val="12"/>
        <color indexed="10"/>
        <rFont val="Arial"/>
        <family val="2"/>
      </rPr>
      <t>S</t>
    </r>
    <r>
      <rPr>
        <vertAlign val="subscript"/>
        <sz val="12"/>
        <color indexed="10"/>
        <rFont val="Arial"/>
        <family val="2"/>
      </rPr>
      <t>NH4</t>
    </r>
    <r>
      <rPr>
        <sz val="12"/>
        <color indexed="10"/>
        <rFont val="Arial"/>
        <family val="2"/>
      </rPr>
      <t>)]*[</t>
    </r>
    <r>
      <rPr>
        <i/>
        <sz val="12"/>
        <color indexed="10"/>
        <rFont val="Arial"/>
        <family val="2"/>
      </rPr>
      <t>S</t>
    </r>
    <r>
      <rPr>
        <vertAlign val="subscript"/>
        <sz val="12"/>
        <color indexed="10"/>
        <rFont val="Arial"/>
        <family val="2"/>
      </rPr>
      <t>PO4</t>
    </r>
    <r>
      <rPr>
        <sz val="12"/>
        <color indexed="10"/>
        <rFont val="Arial"/>
        <family val="2"/>
      </rPr>
      <t>/(</t>
    </r>
    <r>
      <rPr>
        <i/>
        <sz val="12"/>
        <color indexed="10"/>
        <rFont val="Arial"/>
        <family val="2"/>
      </rPr>
      <t>K</t>
    </r>
    <r>
      <rPr>
        <vertAlign val="subscript"/>
        <sz val="12"/>
        <color indexed="10"/>
        <rFont val="Arial"/>
        <family val="2"/>
      </rPr>
      <t>PO4,lys</t>
    </r>
    <r>
      <rPr>
        <sz val="12"/>
        <color indexed="10"/>
        <rFont val="Arial"/>
        <family val="2"/>
      </rPr>
      <t>+</t>
    </r>
    <r>
      <rPr>
        <i/>
        <sz val="12"/>
        <color indexed="10"/>
        <rFont val="Arial"/>
        <family val="2"/>
      </rPr>
      <t>S</t>
    </r>
    <r>
      <rPr>
        <vertAlign val="subscript"/>
        <sz val="12"/>
        <color indexed="10"/>
        <rFont val="Arial"/>
        <family val="2"/>
      </rPr>
      <t>PO4</t>
    </r>
    <r>
      <rPr>
        <sz val="12"/>
        <color indexed="10"/>
        <rFont val="Arial"/>
        <family val="2"/>
      </rPr>
      <t>)]</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</si>
  <si>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i</t>
    </r>
    <r>
      <rPr>
        <vertAlign val="subscript"/>
        <sz val="12"/>
        <color indexed="8"/>
        <rFont val="Arial"/>
        <family val="2"/>
      </rPr>
      <t>NBM</t>
    </r>
    <r>
      <rPr>
        <i/>
        <sz val="12"/>
        <color indexed="8"/>
        <rFont val="Arial"/>
        <family val="2"/>
      </rPr>
      <t>-f</t>
    </r>
    <r>
      <rPr>
        <vertAlign val="subscript"/>
        <sz val="12"/>
        <color indexed="8"/>
        <rFont val="Arial"/>
        <family val="2"/>
      </rPr>
      <t>XE,PAO</t>
    </r>
    <r>
      <rPr>
        <i/>
        <sz val="12"/>
        <color indexed="8"/>
        <rFont val="Arial"/>
        <family val="2"/>
      </rPr>
      <t>*</t>
    </r>
    <r>
      <rPr>
        <i/>
        <sz val="12"/>
        <color indexed="57"/>
        <rFont val="Arial"/>
        <family val="2"/>
      </rPr>
      <t>i</t>
    </r>
    <r>
      <rPr>
        <vertAlign val="subscript"/>
        <sz val="12"/>
        <color indexed="57"/>
        <rFont val="Arial"/>
        <family val="2"/>
      </rPr>
      <t>NXE</t>
    </r>
    <r>
      <rPr>
        <i/>
        <sz val="12"/>
        <color indexed="8"/>
        <rFont val="Arial"/>
        <family val="2"/>
      </rPr>
      <t>-f</t>
    </r>
    <r>
      <rPr>
        <vertAlign val="subscript"/>
        <sz val="12"/>
        <color indexed="8"/>
        <rFont val="Arial"/>
        <family val="2"/>
      </rPr>
      <t>SI,PAO</t>
    </r>
    <r>
      <rPr>
        <i/>
        <sz val="12"/>
        <color indexed="8"/>
        <rFont val="Arial"/>
        <family val="2"/>
      </rPr>
      <t>*i</t>
    </r>
    <r>
      <rPr>
        <vertAlign val="subscript"/>
        <sz val="12"/>
        <color indexed="8"/>
        <rFont val="Arial"/>
        <family val="2"/>
      </rPr>
      <t>NSI</t>
    </r>
    <r>
      <rPr>
        <i/>
        <sz val="12"/>
        <color indexed="8"/>
        <rFont val="Arial"/>
        <family val="2"/>
      </rPr>
      <t>-i</t>
    </r>
    <r>
      <rPr>
        <vertAlign val="subscript"/>
        <sz val="12"/>
        <color indexed="8"/>
        <rFont val="Arial"/>
        <family val="2"/>
      </rPr>
      <t>NENM</t>
    </r>
    <r>
      <rPr>
        <i/>
        <sz val="12"/>
        <color indexed="8"/>
        <rFont val="Arial"/>
        <family val="2"/>
      </rPr>
      <t>*</t>
    </r>
    <r>
      <rPr>
        <sz val="12"/>
        <color indexed="8"/>
        <rFont val="Arial"/>
        <family val="2"/>
      </rPr>
      <t>(1</t>
    </r>
    <r>
      <rPr>
        <i/>
        <sz val="12"/>
        <color indexed="8"/>
        <rFont val="Arial"/>
        <family val="2"/>
      </rPr>
      <t>-η</t>
    </r>
    <r>
      <rPr>
        <vertAlign val="subscript"/>
        <sz val="12"/>
        <color indexed="8"/>
        <rFont val="Arial"/>
        <family val="2"/>
      </rPr>
      <t>PAO</t>
    </r>
    <r>
      <rPr>
        <sz val="12"/>
        <color indexed="8"/>
        <rFont val="Arial"/>
        <family val="2"/>
      </rPr>
      <t>)*(1-</t>
    </r>
    <r>
      <rPr>
        <i/>
        <sz val="12"/>
        <color indexed="8"/>
        <rFont val="Arial"/>
        <family val="2"/>
      </rPr>
      <t>f</t>
    </r>
    <r>
      <rPr>
        <vertAlign val="subscript"/>
        <sz val="12"/>
        <color indexed="8"/>
        <rFont val="Arial"/>
        <family val="2"/>
      </rPr>
      <t>XE,PAO</t>
    </r>
    <r>
      <rPr>
        <i/>
        <sz val="12"/>
        <color indexed="8"/>
        <rFont val="Arial"/>
        <family val="2"/>
      </rPr>
      <t>-f</t>
    </r>
    <r>
      <rPr>
        <vertAlign val="subscript"/>
        <sz val="12"/>
        <color indexed="8"/>
        <rFont val="Arial"/>
        <family val="2"/>
      </rPr>
      <t>SI,PAO</t>
    </r>
    <r>
      <rPr>
        <sz val="12"/>
        <color indexed="8"/>
        <rFont val="Arial"/>
        <family val="2"/>
      </rPr>
      <t>)</t>
    </r>
  </si>
  <si>
    <r>
      <t>-</t>
    </r>
    <r>
      <rPr>
        <i/>
        <sz val="12"/>
        <color indexed="8"/>
        <rFont val="Arial"/>
        <family val="2"/>
      </rPr>
      <t>η</t>
    </r>
    <r>
      <rPr>
        <vertAlign val="subscript"/>
        <sz val="12"/>
        <color indexed="8"/>
        <rFont val="Arial"/>
        <family val="2"/>
      </rPr>
      <t>PAO</t>
    </r>
    <r>
      <rPr>
        <sz val="12"/>
        <color indexed="8"/>
        <rFont val="Arial"/>
        <family val="2"/>
      </rPr>
      <t>*(1-</t>
    </r>
    <r>
      <rPr>
        <i/>
        <sz val="12"/>
        <color indexed="8"/>
        <rFont val="Arial"/>
        <family val="2"/>
      </rPr>
      <t>f</t>
    </r>
    <r>
      <rPr>
        <vertAlign val="subscript"/>
        <sz val="12"/>
        <color indexed="8"/>
        <rFont val="Arial"/>
        <family val="2"/>
      </rPr>
      <t>XE,PAO</t>
    </r>
    <r>
      <rPr>
        <sz val="12"/>
        <color indexed="8"/>
        <rFont val="Arial"/>
        <family val="2"/>
      </rPr>
      <t>-</t>
    </r>
    <r>
      <rPr>
        <i/>
        <sz val="12"/>
        <color indexed="8"/>
        <rFont val="Arial"/>
        <family val="2"/>
      </rPr>
      <t>f</t>
    </r>
    <r>
      <rPr>
        <vertAlign val="subscript"/>
        <sz val="12"/>
        <color indexed="8"/>
        <rFont val="Arial"/>
        <family val="2"/>
      </rPr>
      <t>SI,PAO</t>
    </r>
    <r>
      <rPr>
        <sz val="12"/>
        <color indexed="8"/>
        <rFont val="Arial"/>
        <family val="2"/>
      </rPr>
      <t>)/</t>
    </r>
    <r>
      <rPr>
        <i/>
        <sz val="12"/>
        <color indexed="8"/>
        <rFont val="Arial"/>
        <family val="2"/>
      </rPr>
      <t>i</t>
    </r>
    <r>
      <rPr>
        <vertAlign val="subscript"/>
        <sz val="12"/>
        <color indexed="8"/>
        <rFont val="Arial"/>
        <family val="2"/>
      </rPr>
      <t>NOx,N2</t>
    </r>
  </si>
  <si>
    <r>
      <t>i</t>
    </r>
    <r>
      <rPr>
        <vertAlign val="subscript"/>
        <sz val="12"/>
        <color indexed="8"/>
        <rFont val="Arial"/>
        <family val="2"/>
      </rPr>
      <t>PBM</t>
    </r>
    <r>
      <rPr>
        <i/>
        <sz val="12"/>
        <color indexed="8"/>
        <rFont val="Arial"/>
        <family val="2"/>
      </rPr>
      <t>-f</t>
    </r>
    <r>
      <rPr>
        <vertAlign val="subscript"/>
        <sz val="12"/>
        <color indexed="8"/>
        <rFont val="Arial"/>
        <family val="2"/>
      </rPr>
      <t>XE,PAO</t>
    </r>
    <r>
      <rPr>
        <i/>
        <sz val="12"/>
        <color indexed="8"/>
        <rFont val="Arial"/>
        <family val="2"/>
      </rPr>
      <t>*</t>
    </r>
    <r>
      <rPr>
        <i/>
        <sz val="12"/>
        <color indexed="57"/>
        <rFont val="Arial"/>
        <family val="2"/>
      </rPr>
      <t>i</t>
    </r>
    <r>
      <rPr>
        <vertAlign val="subscript"/>
        <sz val="12"/>
        <color indexed="57"/>
        <rFont val="Arial"/>
        <family val="2"/>
      </rPr>
      <t>PXE</t>
    </r>
    <r>
      <rPr>
        <i/>
        <sz val="12"/>
        <color indexed="10"/>
        <rFont val="Arial"/>
        <family val="2"/>
      </rPr>
      <t>-f</t>
    </r>
    <r>
      <rPr>
        <vertAlign val="subscript"/>
        <sz val="12"/>
        <color indexed="10"/>
        <rFont val="Arial"/>
        <family val="2"/>
      </rPr>
      <t>SI,PAO</t>
    </r>
    <r>
      <rPr>
        <i/>
        <sz val="12"/>
        <color indexed="10"/>
        <rFont val="Arial"/>
        <family val="2"/>
      </rPr>
      <t>*i</t>
    </r>
    <r>
      <rPr>
        <vertAlign val="subscript"/>
        <sz val="12"/>
        <color indexed="10"/>
        <rFont val="Arial"/>
        <family val="2"/>
      </rPr>
      <t>PSI</t>
    </r>
    <r>
      <rPr>
        <sz val="12"/>
        <color indexed="10"/>
        <rFont val="Arial"/>
        <family val="2"/>
      </rPr>
      <t>-(1-</t>
    </r>
    <r>
      <rPr>
        <i/>
        <sz val="12"/>
        <color indexed="10"/>
        <rFont val="Arial"/>
        <family val="2"/>
      </rPr>
      <t>η</t>
    </r>
    <r>
      <rPr>
        <vertAlign val="subscript"/>
        <sz val="12"/>
        <color indexed="10"/>
        <rFont val="Arial"/>
        <family val="2"/>
      </rPr>
      <t>PAO</t>
    </r>
    <r>
      <rPr>
        <sz val="12"/>
        <color indexed="10"/>
        <rFont val="Arial"/>
        <family val="2"/>
      </rPr>
      <t>)*(1-</t>
    </r>
    <r>
      <rPr>
        <i/>
        <sz val="12"/>
        <color indexed="10"/>
        <rFont val="Arial"/>
        <family val="2"/>
      </rPr>
      <t>f</t>
    </r>
    <r>
      <rPr>
        <vertAlign val="subscript"/>
        <sz val="12"/>
        <color indexed="10"/>
        <rFont val="Arial"/>
        <family val="2"/>
      </rPr>
      <t>XE,PAO</t>
    </r>
    <r>
      <rPr>
        <i/>
        <sz val="12"/>
        <color indexed="10"/>
        <rFont val="Arial"/>
        <family val="2"/>
      </rPr>
      <t>-f</t>
    </r>
    <r>
      <rPr>
        <vertAlign val="subscript"/>
        <sz val="12"/>
        <color indexed="10"/>
        <rFont val="Arial"/>
        <family val="2"/>
      </rPr>
      <t>SI,PAO</t>
    </r>
    <r>
      <rPr>
        <sz val="12"/>
        <color indexed="10"/>
        <rFont val="Arial"/>
        <family val="2"/>
      </rPr>
      <t>)</t>
    </r>
    <r>
      <rPr>
        <i/>
        <sz val="12"/>
        <color indexed="10"/>
        <rFont val="Arial"/>
        <family val="2"/>
      </rPr>
      <t>*i</t>
    </r>
    <r>
      <rPr>
        <vertAlign val="subscript"/>
        <sz val="12"/>
        <color indexed="10"/>
        <rFont val="Arial"/>
        <family val="2"/>
      </rPr>
      <t>PENM</t>
    </r>
  </si>
  <si>
    <r>
      <t>(1-</t>
    </r>
    <r>
      <rPr>
        <i/>
        <sz val="12"/>
        <color indexed="8"/>
        <rFont val="Arial"/>
        <family val="2"/>
      </rPr>
      <t>η</t>
    </r>
    <r>
      <rPr>
        <vertAlign val="subscript"/>
        <sz val="12"/>
        <color indexed="8"/>
        <rFont val="Arial"/>
        <family val="2"/>
      </rPr>
      <t>PAO</t>
    </r>
    <r>
      <rPr>
        <sz val="12"/>
        <color indexed="8"/>
        <rFont val="Arial"/>
        <family val="2"/>
      </rPr>
      <t>)*(1-</t>
    </r>
    <r>
      <rPr>
        <i/>
        <sz val="12"/>
        <color indexed="8"/>
        <rFont val="Arial"/>
        <family val="2"/>
      </rPr>
      <t>f</t>
    </r>
    <r>
      <rPr>
        <vertAlign val="subscript"/>
        <sz val="12"/>
        <color indexed="8"/>
        <rFont val="Arial"/>
        <family val="2"/>
      </rPr>
      <t>XE,PAO</t>
    </r>
    <r>
      <rPr>
        <sz val="12"/>
        <color indexed="8"/>
        <rFont val="Arial"/>
        <family val="2"/>
      </rPr>
      <t>-</t>
    </r>
    <r>
      <rPr>
        <i/>
        <sz val="12"/>
        <color indexed="8"/>
        <rFont val="Arial"/>
        <family val="2"/>
      </rPr>
      <t>f</t>
    </r>
    <r>
      <rPr>
        <vertAlign val="subscript"/>
        <sz val="12"/>
        <color indexed="8"/>
        <rFont val="Arial"/>
        <family val="2"/>
      </rPr>
      <t>SI,PAO</t>
    </r>
    <r>
      <rPr>
        <sz val="12"/>
        <color indexed="8"/>
        <rFont val="Arial"/>
        <family val="2"/>
      </rPr>
      <t>)</t>
    </r>
  </si>
  <si>
    <r>
      <t>η</t>
    </r>
    <r>
      <rPr>
        <vertAlign val="subscript"/>
        <sz val="12"/>
        <color indexed="10"/>
        <rFont val="Arial"/>
        <family val="2"/>
      </rPr>
      <t>PAO</t>
    </r>
    <r>
      <rPr>
        <i/>
        <sz val="12"/>
        <color indexed="10"/>
        <rFont val="Arial"/>
        <family val="2"/>
      </rPr>
      <t>*</t>
    </r>
    <r>
      <rPr>
        <sz val="12"/>
        <color indexed="10"/>
        <rFont val="Arial"/>
        <family val="2"/>
      </rPr>
      <t>(1-</t>
    </r>
    <r>
      <rPr>
        <i/>
        <sz val="12"/>
        <color indexed="10"/>
        <rFont val="Arial"/>
        <family val="2"/>
      </rPr>
      <t>f</t>
    </r>
    <r>
      <rPr>
        <vertAlign val="subscript"/>
        <sz val="12"/>
        <color indexed="10"/>
        <rFont val="Arial"/>
        <family val="2"/>
      </rPr>
      <t>XE,PAO</t>
    </r>
    <r>
      <rPr>
        <i/>
        <sz val="12"/>
        <color indexed="10"/>
        <rFont val="Arial"/>
        <family val="2"/>
      </rPr>
      <t>-f</t>
    </r>
    <r>
      <rPr>
        <vertAlign val="subscript"/>
        <sz val="12"/>
        <color indexed="10"/>
        <rFont val="Arial"/>
        <family val="2"/>
      </rPr>
      <t>SI,PAO</t>
    </r>
    <r>
      <rPr>
        <sz val="12"/>
        <color indexed="10"/>
        <rFont val="Arial"/>
        <family val="2"/>
      </rPr>
      <t>)/</t>
    </r>
    <r>
      <rPr>
        <i/>
        <sz val="12"/>
        <color indexed="10"/>
        <rFont val="Arial"/>
        <family val="2"/>
      </rPr>
      <t>i</t>
    </r>
    <r>
      <rPr>
        <vertAlign val="subscript"/>
        <sz val="12"/>
        <color indexed="10"/>
        <rFont val="Arial"/>
        <family val="2"/>
      </rPr>
      <t>NOx,N2</t>
    </r>
  </si>
  <si>
    <r>
      <t>b</t>
    </r>
    <r>
      <rPr>
        <vertAlign val="subscript"/>
        <sz val="12"/>
        <color indexed="8"/>
        <rFont val="Arial"/>
        <family val="2"/>
      </rPr>
      <t>PAO</t>
    </r>
    <r>
      <rPr>
        <sz val="10"/>
        <color indexed="8"/>
        <rFont val="Arial"/>
        <family val="2"/>
      </rPr>
      <t>*</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K</t>
    </r>
    <r>
      <rPr>
        <vertAlign val="subscript"/>
        <sz val="12"/>
        <color indexed="8"/>
        <rFont val="Arial"/>
        <family val="2"/>
      </rPr>
      <t>OH</t>
    </r>
    <r>
      <rPr>
        <sz val="10"/>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sz val="10"/>
        <color indexed="8"/>
        <rFont val="Arial"/>
        <family val="2"/>
      </rPr>
      <t>[</t>
    </r>
    <r>
      <rPr>
        <i/>
        <sz val="12"/>
        <color indexed="8"/>
        <rFont val="Arial"/>
        <family val="2"/>
      </rPr>
      <t>S</t>
    </r>
    <r>
      <rPr>
        <vertAlign val="subscript"/>
        <sz val="12"/>
        <color indexed="8"/>
        <rFont val="Arial"/>
        <family val="2"/>
      </rPr>
      <t>NO3</t>
    </r>
    <r>
      <rPr>
        <sz val="10"/>
        <color indexed="8"/>
        <rFont val="Arial"/>
        <family val="2"/>
      </rPr>
      <t>/</t>
    </r>
    <r>
      <rPr>
        <sz val="12"/>
        <color indexed="8"/>
        <rFont val="Arial"/>
        <family val="2"/>
      </rPr>
      <t>(</t>
    </r>
    <r>
      <rPr>
        <i/>
        <sz val="12"/>
        <color indexed="8"/>
        <rFont val="Arial"/>
        <family val="2"/>
      </rPr>
      <t>K</t>
    </r>
    <r>
      <rPr>
        <vertAlign val="subscript"/>
        <sz val="12"/>
        <color indexed="8"/>
        <rFont val="Arial"/>
        <family val="2"/>
      </rPr>
      <t>NO3</t>
    </r>
    <r>
      <rPr>
        <sz val="10"/>
        <color indexed="8"/>
        <rFont val="Arial"/>
        <family val="2"/>
      </rPr>
      <t>+</t>
    </r>
    <r>
      <rPr>
        <i/>
        <sz val="12"/>
        <color indexed="8"/>
        <rFont val="Arial"/>
        <family val="2"/>
      </rPr>
      <t>S</t>
    </r>
    <r>
      <rPr>
        <vertAlign val="subscript"/>
        <sz val="12"/>
        <color indexed="8"/>
        <rFont val="Arial"/>
        <family val="2"/>
      </rPr>
      <t>NO3</t>
    </r>
    <r>
      <rPr>
        <sz val="10"/>
        <color indexed="8"/>
        <rFont val="Arial"/>
        <family val="2"/>
      </rPr>
      <t>)]*</t>
    </r>
    <r>
      <rPr>
        <i/>
        <sz val="12"/>
        <color indexed="8"/>
        <rFont val="Arial"/>
        <family val="2"/>
      </rPr>
      <t>X</t>
    </r>
    <r>
      <rPr>
        <vertAlign val="subscript"/>
        <sz val="12"/>
        <color indexed="8"/>
        <rFont val="Arial"/>
        <family val="2"/>
      </rPr>
      <t>PAO</t>
    </r>
  </si>
  <si>
    <r>
      <t>f</t>
    </r>
    <r>
      <rPr>
        <vertAlign val="subscript"/>
        <sz val="12"/>
        <rFont val="Arial"/>
        <family val="2"/>
      </rPr>
      <t>XE</t>
    </r>
    <r>
      <rPr>
        <b/>
        <vertAlign val="subscript"/>
        <sz val="12"/>
        <rFont val="Arial"/>
        <family val="2"/>
      </rPr>
      <t>-</t>
    </r>
    <r>
      <rPr>
        <vertAlign val="subscript"/>
        <sz val="12"/>
        <rFont val="Arial"/>
        <family val="2"/>
      </rPr>
      <t>NIT</t>
    </r>
  </si>
  <si>
    <r>
      <t>X</t>
    </r>
    <r>
      <rPr>
        <b/>
        <vertAlign val="subscript"/>
        <sz val="10"/>
        <color indexed="8"/>
        <rFont val="Arial"/>
        <family val="2"/>
      </rPr>
      <t xml:space="preserve">PP </t>
    </r>
    <r>
      <rPr>
        <b/>
        <sz val="10"/>
        <color indexed="8"/>
        <rFont val="Arial"/>
        <family val="2"/>
      </rPr>
      <t>lysis on anoxic decay</t>
    </r>
  </si>
  <si>
    <r>
      <t>b</t>
    </r>
    <r>
      <rPr>
        <vertAlign val="subscript"/>
        <sz val="12"/>
        <color indexed="8"/>
        <rFont val="Arial"/>
        <family val="2"/>
      </rPr>
      <t>PAO</t>
    </r>
    <r>
      <rPr>
        <sz val="10"/>
        <color indexed="8"/>
        <rFont val="Arial"/>
        <family val="2"/>
      </rPr>
      <t>*</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K</t>
    </r>
    <r>
      <rPr>
        <vertAlign val="subscript"/>
        <sz val="12"/>
        <color indexed="8"/>
        <rFont val="Arial"/>
        <family val="2"/>
      </rPr>
      <t>OH</t>
    </r>
    <r>
      <rPr>
        <sz val="10"/>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sz val="10"/>
        <color indexed="8"/>
        <rFont val="Arial"/>
        <family val="2"/>
      </rPr>
      <t>[</t>
    </r>
    <r>
      <rPr>
        <i/>
        <sz val="12"/>
        <color indexed="8"/>
        <rFont val="Arial"/>
        <family val="2"/>
      </rPr>
      <t>S</t>
    </r>
    <r>
      <rPr>
        <vertAlign val="subscript"/>
        <sz val="12"/>
        <color indexed="8"/>
        <rFont val="Arial"/>
        <family val="2"/>
      </rPr>
      <t>NO3</t>
    </r>
    <r>
      <rPr>
        <sz val="10"/>
        <color indexed="8"/>
        <rFont val="Arial"/>
        <family val="2"/>
      </rPr>
      <t>/</t>
    </r>
    <r>
      <rPr>
        <sz val="12"/>
        <color indexed="8"/>
        <rFont val="Arial"/>
        <family val="2"/>
      </rPr>
      <t>(</t>
    </r>
    <r>
      <rPr>
        <i/>
        <sz val="12"/>
        <color indexed="8"/>
        <rFont val="Arial"/>
        <family val="2"/>
      </rPr>
      <t>K</t>
    </r>
    <r>
      <rPr>
        <vertAlign val="subscript"/>
        <sz val="12"/>
        <color indexed="8"/>
        <rFont val="Arial"/>
        <family val="2"/>
      </rPr>
      <t>NO3</t>
    </r>
    <r>
      <rPr>
        <sz val="10"/>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sz val="10"/>
        <color indexed="8"/>
        <rFont val="Arial"/>
        <family val="2"/>
      </rPr>
      <t>[</t>
    </r>
    <r>
      <rPr>
        <i/>
        <sz val="12"/>
        <color indexed="8"/>
        <rFont val="Arial"/>
        <family val="2"/>
      </rPr>
      <t>X</t>
    </r>
    <r>
      <rPr>
        <vertAlign val="subscript"/>
        <sz val="12"/>
        <color indexed="8"/>
        <rFont val="Arial"/>
        <family val="2"/>
      </rPr>
      <t>PP</t>
    </r>
    <r>
      <rPr>
        <sz val="10"/>
        <color indexed="8"/>
        <rFont val="Arial"/>
        <family val="2"/>
      </rPr>
      <t>/</t>
    </r>
    <r>
      <rPr>
        <i/>
        <sz val="12"/>
        <color indexed="8"/>
        <rFont val="Arial"/>
        <family val="2"/>
      </rPr>
      <t>X</t>
    </r>
    <r>
      <rPr>
        <vertAlign val="subscript"/>
        <sz val="12"/>
        <color indexed="8"/>
        <rFont val="Arial"/>
        <family val="2"/>
      </rPr>
      <t>PAO</t>
    </r>
    <r>
      <rPr>
        <sz val="10"/>
        <color indexed="8"/>
        <rFont val="Arial"/>
        <family val="2"/>
      </rPr>
      <t>]*</t>
    </r>
    <r>
      <rPr>
        <i/>
        <sz val="12"/>
        <color indexed="8"/>
        <rFont val="Arial"/>
        <family val="2"/>
      </rPr>
      <t>X</t>
    </r>
    <r>
      <rPr>
        <vertAlign val="subscript"/>
        <sz val="12"/>
        <color indexed="8"/>
        <rFont val="Arial"/>
        <family val="2"/>
      </rPr>
      <t>PAO</t>
    </r>
  </si>
  <si>
    <r>
      <t>X</t>
    </r>
    <r>
      <rPr>
        <b/>
        <vertAlign val="subscript"/>
        <sz val="10"/>
        <color indexed="8"/>
        <rFont val="Arial"/>
        <family val="2"/>
      </rPr>
      <t xml:space="preserve">PHA </t>
    </r>
    <r>
      <rPr>
        <b/>
        <sz val="10"/>
        <color indexed="8"/>
        <rFont val="Arial"/>
        <family val="2"/>
      </rPr>
      <t>lysis on anoxic decay</t>
    </r>
  </si>
  <si>
    <r>
      <t>b</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K</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NH4</t>
    </r>
    <r>
      <rPr>
        <sz val="12"/>
        <color indexed="10"/>
        <rFont val="Arial"/>
        <family val="2"/>
      </rPr>
      <t>/(</t>
    </r>
    <r>
      <rPr>
        <i/>
        <sz val="12"/>
        <color indexed="10"/>
        <rFont val="Arial"/>
        <family val="2"/>
      </rPr>
      <t>K</t>
    </r>
    <r>
      <rPr>
        <vertAlign val="subscript"/>
        <sz val="12"/>
        <color indexed="10"/>
        <rFont val="Arial"/>
        <family val="2"/>
      </rPr>
      <t>NH4</t>
    </r>
    <r>
      <rPr>
        <sz val="12"/>
        <color indexed="10"/>
        <rFont val="Arial"/>
        <family val="2"/>
      </rPr>
      <t>+</t>
    </r>
    <r>
      <rPr>
        <i/>
        <sz val="12"/>
        <color indexed="10"/>
        <rFont val="Arial"/>
        <family val="2"/>
      </rPr>
      <t>S</t>
    </r>
    <r>
      <rPr>
        <vertAlign val="subscript"/>
        <sz val="12"/>
        <color indexed="10"/>
        <rFont val="Arial"/>
        <family val="2"/>
      </rPr>
      <t>NH4</t>
    </r>
    <r>
      <rPr>
        <sz val="12"/>
        <color indexed="10"/>
        <rFont val="Arial"/>
        <family val="2"/>
      </rPr>
      <t>)]*[</t>
    </r>
    <r>
      <rPr>
        <i/>
        <sz val="12"/>
        <color indexed="10"/>
        <rFont val="Arial"/>
        <family val="2"/>
      </rPr>
      <t>S</t>
    </r>
    <r>
      <rPr>
        <vertAlign val="subscript"/>
        <sz val="12"/>
        <color indexed="10"/>
        <rFont val="Arial"/>
        <family val="2"/>
      </rPr>
      <t>PO4</t>
    </r>
    <r>
      <rPr>
        <sz val="12"/>
        <color indexed="10"/>
        <rFont val="Arial"/>
        <family val="2"/>
      </rPr>
      <t>/(</t>
    </r>
    <r>
      <rPr>
        <i/>
        <sz val="12"/>
        <color indexed="10"/>
        <rFont val="Arial"/>
        <family val="2"/>
      </rPr>
      <t>K</t>
    </r>
    <r>
      <rPr>
        <vertAlign val="subscript"/>
        <sz val="12"/>
        <color indexed="10"/>
        <rFont val="Arial"/>
        <family val="2"/>
      </rPr>
      <t>PO4,lys</t>
    </r>
    <r>
      <rPr>
        <sz val="12"/>
        <color indexed="10"/>
        <rFont val="Arial"/>
        <family val="2"/>
      </rPr>
      <t>+</t>
    </r>
    <r>
      <rPr>
        <i/>
        <sz val="12"/>
        <color indexed="10"/>
        <rFont val="Arial"/>
        <family val="2"/>
      </rPr>
      <t>S</t>
    </r>
    <r>
      <rPr>
        <vertAlign val="subscript"/>
        <sz val="12"/>
        <color indexed="10"/>
        <rFont val="Arial"/>
        <family val="2"/>
      </rPr>
      <t>PO4</t>
    </r>
    <r>
      <rPr>
        <sz val="12"/>
        <color indexed="10"/>
        <rFont val="Arial"/>
        <family val="2"/>
      </rPr>
      <t>)]</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AO</t>
    </r>
  </si>
  <si>
    <r>
      <t>i</t>
    </r>
    <r>
      <rPr>
        <vertAlign val="subscript"/>
        <sz val="12"/>
        <color indexed="8"/>
        <rFont val="Arial"/>
        <family val="2"/>
      </rPr>
      <t>NBM</t>
    </r>
    <r>
      <rPr>
        <i/>
        <sz val="12"/>
        <color indexed="8"/>
        <rFont val="Arial"/>
        <family val="2"/>
      </rPr>
      <t>-f</t>
    </r>
    <r>
      <rPr>
        <vertAlign val="subscript"/>
        <sz val="12"/>
        <color indexed="8"/>
        <rFont val="Arial"/>
        <family val="2"/>
      </rPr>
      <t>XE,PAO</t>
    </r>
    <r>
      <rPr>
        <sz val="12"/>
        <color indexed="8"/>
        <rFont val="Arial"/>
        <family val="2"/>
      </rPr>
      <t>*</t>
    </r>
    <r>
      <rPr>
        <i/>
        <sz val="12"/>
        <color indexed="57"/>
        <rFont val="Arial"/>
        <family val="2"/>
      </rPr>
      <t>i</t>
    </r>
    <r>
      <rPr>
        <vertAlign val="subscript"/>
        <sz val="12"/>
        <color indexed="57"/>
        <rFont val="Arial"/>
        <family val="2"/>
      </rPr>
      <t>NXE</t>
    </r>
    <r>
      <rPr>
        <sz val="12"/>
        <color indexed="8"/>
        <rFont val="Arial"/>
        <family val="2"/>
      </rPr>
      <t>-</t>
    </r>
    <r>
      <rPr>
        <i/>
        <sz val="12"/>
        <color indexed="8"/>
        <rFont val="Arial"/>
        <family val="2"/>
      </rPr>
      <t>f</t>
    </r>
    <r>
      <rPr>
        <vertAlign val="subscript"/>
        <sz val="12"/>
        <color indexed="8"/>
        <rFont val="Arial"/>
        <family val="2"/>
      </rPr>
      <t>SI,PAO</t>
    </r>
    <r>
      <rPr>
        <sz val="12"/>
        <color indexed="8"/>
        <rFont val="Arial"/>
        <family val="2"/>
      </rPr>
      <t>*</t>
    </r>
    <r>
      <rPr>
        <i/>
        <sz val="12"/>
        <color indexed="8"/>
        <rFont val="Arial"/>
        <family val="2"/>
      </rPr>
      <t>i</t>
    </r>
    <r>
      <rPr>
        <vertAlign val="subscript"/>
        <sz val="12"/>
        <color indexed="8"/>
        <rFont val="Arial"/>
        <family val="2"/>
      </rPr>
      <t>NSI</t>
    </r>
    <r>
      <rPr>
        <sz val="12"/>
        <color indexed="8"/>
        <rFont val="Arial"/>
        <family val="2"/>
      </rPr>
      <t>-</t>
    </r>
    <r>
      <rPr>
        <i/>
        <sz val="12"/>
        <color indexed="8"/>
        <rFont val="Arial"/>
        <family val="2"/>
      </rPr>
      <t>i</t>
    </r>
    <r>
      <rPr>
        <vertAlign val="subscript"/>
        <sz val="12"/>
        <color indexed="8"/>
        <rFont val="Arial"/>
        <family val="2"/>
      </rPr>
      <t>NENM</t>
    </r>
    <r>
      <rPr>
        <sz val="12"/>
        <color indexed="8"/>
        <rFont val="Arial"/>
        <family val="2"/>
      </rPr>
      <t>*(1-</t>
    </r>
    <r>
      <rPr>
        <i/>
        <sz val="12"/>
        <color indexed="8"/>
        <rFont val="Arial"/>
        <family val="2"/>
      </rPr>
      <t>f</t>
    </r>
    <r>
      <rPr>
        <vertAlign val="subscript"/>
        <sz val="12"/>
        <color indexed="8"/>
        <rFont val="Arial"/>
        <family val="2"/>
      </rPr>
      <t>XE,PAO</t>
    </r>
    <r>
      <rPr>
        <sz val="12"/>
        <color indexed="8"/>
        <rFont val="Arial"/>
        <family val="2"/>
      </rPr>
      <t>-</t>
    </r>
    <r>
      <rPr>
        <i/>
        <sz val="12"/>
        <color indexed="8"/>
        <rFont val="Arial"/>
        <family val="2"/>
      </rPr>
      <t>f</t>
    </r>
    <r>
      <rPr>
        <vertAlign val="subscript"/>
        <sz val="12"/>
        <color indexed="8"/>
        <rFont val="Arial"/>
        <family val="2"/>
      </rPr>
      <t>SI,PAO</t>
    </r>
    <r>
      <rPr>
        <sz val="12"/>
        <color indexed="8"/>
        <rFont val="Arial"/>
        <family val="2"/>
      </rPr>
      <t>)</t>
    </r>
  </si>
  <si>
    <r>
      <t>i</t>
    </r>
    <r>
      <rPr>
        <vertAlign val="subscript"/>
        <sz val="12"/>
        <color indexed="8"/>
        <rFont val="Arial"/>
        <family val="2"/>
      </rPr>
      <t>PBM</t>
    </r>
    <r>
      <rPr>
        <i/>
        <sz val="12"/>
        <color indexed="8"/>
        <rFont val="Arial"/>
        <family val="2"/>
      </rPr>
      <t>-f</t>
    </r>
    <r>
      <rPr>
        <vertAlign val="subscript"/>
        <sz val="12"/>
        <color indexed="8"/>
        <rFont val="Arial"/>
        <family val="2"/>
      </rPr>
      <t>XE,PAO</t>
    </r>
    <r>
      <rPr>
        <sz val="12"/>
        <color indexed="8"/>
        <rFont val="Arial"/>
        <family val="2"/>
      </rPr>
      <t>*</t>
    </r>
    <r>
      <rPr>
        <i/>
        <sz val="12"/>
        <color indexed="57"/>
        <rFont val="Arial"/>
        <family val="2"/>
      </rPr>
      <t>i</t>
    </r>
    <r>
      <rPr>
        <vertAlign val="subscript"/>
        <sz val="12"/>
        <color indexed="57"/>
        <rFont val="Arial"/>
        <family val="2"/>
      </rPr>
      <t>PXE</t>
    </r>
    <r>
      <rPr>
        <sz val="12"/>
        <color indexed="10"/>
        <rFont val="Arial"/>
        <family val="2"/>
      </rPr>
      <t>-</t>
    </r>
    <r>
      <rPr>
        <i/>
        <sz val="12"/>
        <color indexed="10"/>
        <rFont val="Arial"/>
        <family val="2"/>
      </rPr>
      <t>f</t>
    </r>
    <r>
      <rPr>
        <vertAlign val="subscript"/>
        <sz val="12"/>
        <color indexed="10"/>
        <rFont val="Arial"/>
        <family val="2"/>
      </rPr>
      <t>SI,PAO</t>
    </r>
    <r>
      <rPr>
        <sz val="12"/>
        <color indexed="10"/>
        <rFont val="Arial"/>
        <family val="2"/>
      </rPr>
      <t>*</t>
    </r>
    <r>
      <rPr>
        <i/>
        <sz val="12"/>
        <color indexed="10"/>
        <rFont val="Arial"/>
        <family val="2"/>
      </rPr>
      <t>i</t>
    </r>
    <r>
      <rPr>
        <vertAlign val="subscript"/>
        <sz val="12"/>
        <color indexed="10"/>
        <rFont val="Arial"/>
        <family val="2"/>
      </rPr>
      <t>PSI</t>
    </r>
    <r>
      <rPr>
        <sz val="12"/>
        <color indexed="10"/>
        <rFont val="Arial"/>
        <family val="2"/>
      </rPr>
      <t>-(1-</t>
    </r>
    <r>
      <rPr>
        <i/>
        <sz val="12"/>
        <color indexed="10"/>
        <rFont val="Arial"/>
        <family val="2"/>
      </rPr>
      <t>f</t>
    </r>
    <r>
      <rPr>
        <vertAlign val="subscript"/>
        <sz val="12"/>
        <color indexed="10"/>
        <rFont val="Arial"/>
        <family val="2"/>
      </rPr>
      <t>XE,PAO</t>
    </r>
    <r>
      <rPr>
        <sz val="12"/>
        <color indexed="10"/>
        <rFont val="Arial"/>
        <family val="2"/>
      </rPr>
      <t>-</t>
    </r>
    <r>
      <rPr>
        <i/>
        <sz val="12"/>
        <color indexed="10"/>
        <rFont val="Arial"/>
        <family val="2"/>
      </rPr>
      <t>f</t>
    </r>
    <r>
      <rPr>
        <vertAlign val="subscript"/>
        <sz val="12"/>
        <color indexed="10"/>
        <rFont val="Arial"/>
        <family val="2"/>
      </rPr>
      <t>SI,PAO</t>
    </r>
    <r>
      <rPr>
        <sz val="12"/>
        <color indexed="10"/>
        <rFont val="Arial"/>
        <family val="2"/>
      </rPr>
      <t>)*</t>
    </r>
    <r>
      <rPr>
        <i/>
        <sz val="12"/>
        <color indexed="10"/>
        <rFont val="Arial"/>
        <family val="2"/>
      </rPr>
      <t>i</t>
    </r>
    <r>
      <rPr>
        <vertAlign val="subscript"/>
        <sz val="12"/>
        <color indexed="10"/>
        <rFont val="Arial"/>
        <family val="2"/>
      </rPr>
      <t>PENM</t>
    </r>
  </si>
  <si>
    <r>
      <t>1-</t>
    </r>
    <r>
      <rPr>
        <i/>
        <sz val="12"/>
        <color indexed="8"/>
        <rFont val="Arial"/>
        <family val="2"/>
      </rPr>
      <t>f</t>
    </r>
    <r>
      <rPr>
        <vertAlign val="subscript"/>
        <sz val="12"/>
        <color indexed="8"/>
        <rFont val="Arial"/>
        <family val="2"/>
      </rPr>
      <t>XE,PAO</t>
    </r>
    <r>
      <rPr>
        <i/>
        <sz val="12"/>
        <color indexed="8"/>
        <rFont val="Arial"/>
        <family val="2"/>
      </rPr>
      <t>-f</t>
    </r>
    <r>
      <rPr>
        <vertAlign val="subscript"/>
        <sz val="12"/>
        <color indexed="8"/>
        <rFont val="Arial"/>
        <family val="2"/>
      </rPr>
      <t>SI,PAO</t>
    </r>
  </si>
  <si>
    <r>
      <t>b</t>
    </r>
    <r>
      <rPr>
        <vertAlign val="subscript"/>
        <sz val="12"/>
        <color indexed="8"/>
        <rFont val="Arial"/>
        <family val="2"/>
      </rPr>
      <t>PAO</t>
    </r>
    <r>
      <rPr>
        <sz val="10"/>
        <color indexed="8"/>
        <rFont val="Arial"/>
        <family val="2"/>
      </rPr>
      <t>*</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K</t>
    </r>
    <r>
      <rPr>
        <vertAlign val="subscript"/>
        <sz val="12"/>
        <color indexed="8"/>
        <rFont val="Arial"/>
        <family val="2"/>
      </rPr>
      <t>OH</t>
    </r>
    <r>
      <rPr>
        <sz val="10"/>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sz val="10"/>
        <color indexed="8"/>
        <rFont val="Arial"/>
        <family val="2"/>
      </rPr>
      <t>[</t>
    </r>
    <r>
      <rPr>
        <i/>
        <sz val="12"/>
        <color indexed="8"/>
        <rFont val="Arial"/>
        <family val="2"/>
      </rPr>
      <t>K</t>
    </r>
    <r>
      <rPr>
        <vertAlign val="subscript"/>
        <sz val="12"/>
        <color indexed="8"/>
        <rFont val="Arial"/>
        <family val="2"/>
      </rPr>
      <t>NO3</t>
    </r>
    <r>
      <rPr>
        <sz val="10"/>
        <color indexed="8"/>
        <rFont val="Arial"/>
        <family val="2"/>
      </rPr>
      <t>/</t>
    </r>
    <r>
      <rPr>
        <sz val="12"/>
        <color indexed="8"/>
        <rFont val="Arial"/>
        <family val="2"/>
      </rPr>
      <t>(</t>
    </r>
    <r>
      <rPr>
        <i/>
        <sz val="12"/>
        <color indexed="8"/>
        <rFont val="Arial"/>
        <family val="2"/>
      </rPr>
      <t>K</t>
    </r>
    <r>
      <rPr>
        <vertAlign val="subscript"/>
        <sz val="12"/>
        <color indexed="8"/>
        <rFont val="Arial"/>
        <family val="2"/>
      </rPr>
      <t>NO3</t>
    </r>
    <r>
      <rPr>
        <sz val="10"/>
        <color indexed="8"/>
        <rFont val="Arial"/>
        <family val="2"/>
      </rPr>
      <t>+</t>
    </r>
    <r>
      <rPr>
        <i/>
        <sz val="12"/>
        <color indexed="8"/>
        <rFont val="Arial"/>
        <family val="2"/>
      </rPr>
      <t>S</t>
    </r>
    <r>
      <rPr>
        <vertAlign val="subscript"/>
        <sz val="12"/>
        <color indexed="8"/>
        <rFont val="Arial"/>
        <family val="2"/>
      </rPr>
      <t>NO3</t>
    </r>
    <r>
      <rPr>
        <sz val="10"/>
        <color indexed="8"/>
        <rFont val="Arial"/>
        <family val="2"/>
      </rPr>
      <t>)]*</t>
    </r>
    <r>
      <rPr>
        <i/>
        <sz val="12"/>
        <color indexed="8"/>
        <rFont val="Arial"/>
        <family val="2"/>
      </rPr>
      <t>X</t>
    </r>
    <r>
      <rPr>
        <vertAlign val="subscript"/>
        <sz val="12"/>
        <color indexed="8"/>
        <rFont val="Arial"/>
        <family val="2"/>
      </rPr>
      <t>PAO</t>
    </r>
  </si>
  <si>
    <r>
      <t>X</t>
    </r>
    <r>
      <rPr>
        <b/>
        <vertAlign val="subscript"/>
        <sz val="10"/>
        <color indexed="8"/>
        <rFont val="Arial"/>
        <family val="2"/>
      </rPr>
      <t xml:space="preserve">PP </t>
    </r>
    <r>
      <rPr>
        <b/>
        <sz val="10"/>
        <color indexed="8"/>
        <rFont val="Arial"/>
        <family val="2"/>
      </rPr>
      <t>lysis on anaerobic decay</t>
    </r>
  </si>
  <si>
    <r>
      <t>b</t>
    </r>
    <r>
      <rPr>
        <vertAlign val="subscript"/>
        <sz val="12"/>
        <color indexed="8"/>
        <rFont val="Arial"/>
        <family val="2"/>
      </rPr>
      <t>PAO</t>
    </r>
    <r>
      <rPr>
        <sz val="10"/>
        <color indexed="8"/>
        <rFont val="Arial"/>
        <family val="2"/>
      </rPr>
      <t>*</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K</t>
    </r>
    <r>
      <rPr>
        <vertAlign val="subscript"/>
        <sz val="12"/>
        <color indexed="8"/>
        <rFont val="Arial"/>
        <family val="2"/>
      </rPr>
      <t>OH</t>
    </r>
    <r>
      <rPr>
        <sz val="10"/>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sz val="10"/>
        <color indexed="8"/>
        <rFont val="Arial"/>
        <family val="2"/>
      </rPr>
      <t>[</t>
    </r>
    <r>
      <rPr>
        <i/>
        <sz val="12"/>
        <color indexed="8"/>
        <rFont val="Arial"/>
        <family val="2"/>
      </rPr>
      <t>K</t>
    </r>
    <r>
      <rPr>
        <vertAlign val="subscript"/>
        <sz val="12"/>
        <color indexed="8"/>
        <rFont val="Arial"/>
        <family val="2"/>
      </rPr>
      <t>NO3</t>
    </r>
    <r>
      <rPr>
        <sz val="10"/>
        <color indexed="8"/>
        <rFont val="Arial"/>
        <family val="2"/>
      </rPr>
      <t>/</t>
    </r>
    <r>
      <rPr>
        <sz val="12"/>
        <color indexed="8"/>
        <rFont val="Arial"/>
        <family val="2"/>
      </rPr>
      <t>(</t>
    </r>
    <r>
      <rPr>
        <i/>
        <sz val="12"/>
        <color indexed="8"/>
        <rFont val="Arial"/>
        <family val="2"/>
      </rPr>
      <t>K</t>
    </r>
    <r>
      <rPr>
        <vertAlign val="subscript"/>
        <sz val="12"/>
        <color indexed="8"/>
        <rFont val="Arial"/>
        <family val="2"/>
      </rPr>
      <t>NO3</t>
    </r>
    <r>
      <rPr>
        <sz val="10"/>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sz val="10"/>
        <color indexed="8"/>
        <rFont val="Arial"/>
        <family val="2"/>
      </rPr>
      <t>[</t>
    </r>
    <r>
      <rPr>
        <i/>
        <sz val="12"/>
        <color indexed="8"/>
        <rFont val="Arial"/>
        <family val="2"/>
      </rPr>
      <t>X</t>
    </r>
    <r>
      <rPr>
        <vertAlign val="subscript"/>
        <sz val="12"/>
        <color indexed="8"/>
        <rFont val="Arial"/>
        <family val="2"/>
      </rPr>
      <t>PP</t>
    </r>
    <r>
      <rPr>
        <sz val="10"/>
        <color indexed="8"/>
        <rFont val="Arial"/>
        <family val="2"/>
      </rPr>
      <t>/</t>
    </r>
    <r>
      <rPr>
        <i/>
        <sz val="12"/>
        <color indexed="8"/>
        <rFont val="Arial"/>
        <family val="2"/>
      </rPr>
      <t>X</t>
    </r>
    <r>
      <rPr>
        <vertAlign val="subscript"/>
        <sz val="12"/>
        <color indexed="8"/>
        <rFont val="Arial"/>
        <family val="2"/>
      </rPr>
      <t>PAO</t>
    </r>
    <r>
      <rPr>
        <sz val="10"/>
        <color indexed="8"/>
        <rFont val="Arial"/>
        <family val="2"/>
      </rPr>
      <t>]*</t>
    </r>
    <r>
      <rPr>
        <i/>
        <sz val="12"/>
        <color indexed="8"/>
        <rFont val="Arial"/>
        <family val="2"/>
      </rPr>
      <t>X</t>
    </r>
    <r>
      <rPr>
        <vertAlign val="subscript"/>
        <sz val="12"/>
        <color indexed="8"/>
        <rFont val="Arial"/>
        <family val="2"/>
      </rPr>
      <t>PAO</t>
    </r>
  </si>
  <si>
    <r>
      <t>X</t>
    </r>
    <r>
      <rPr>
        <b/>
        <vertAlign val="subscript"/>
        <sz val="10"/>
        <color indexed="8"/>
        <rFont val="Arial"/>
        <family val="2"/>
      </rPr>
      <t xml:space="preserve">PHA </t>
    </r>
    <r>
      <rPr>
        <b/>
        <sz val="10"/>
        <color indexed="8"/>
        <rFont val="Arial"/>
        <family val="2"/>
      </rPr>
      <t>lysis on anaerobic decay</t>
    </r>
  </si>
  <si>
    <r>
      <t>b</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NO3</t>
    </r>
    <r>
      <rPr>
        <sz val="12"/>
        <color indexed="8"/>
        <rFont val="Arial"/>
        <family val="2"/>
      </rPr>
      <t>/(</t>
    </r>
    <r>
      <rPr>
        <i/>
        <sz val="12"/>
        <color indexed="8"/>
        <rFont val="Arial"/>
        <family val="2"/>
      </rPr>
      <t>K</t>
    </r>
    <r>
      <rPr>
        <vertAlign val="subscript"/>
        <sz val="12"/>
        <color indexed="8"/>
        <rFont val="Arial"/>
        <family val="2"/>
      </rPr>
      <t>NO3</t>
    </r>
    <r>
      <rPr>
        <sz val="12"/>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NH4</t>
    </r>
    <r>
      <rPr>
        <sz val="12"/>
        <color indexed="10"/>
        <rFont val="Arial"/>
        <family val="2"/>
      </rPr>
      <t>/(</t>
    </r>
    <r>
      <rPr>
        <i/>
        <sz val="12"/>
        <color indexed="10"/>
        <rFont val="Arial"/>
        <family val="2"/>
      </rPr>
      <t>K</t>
    </r>
    <r>
      <rPr>
        <vertAlign val="subscript"/>
        <sz val="12"/>
        <color indexed="10"/>
        <rFont val="Arial"/>
        <family val="2"/>
      </rPr>
      <t>NH4</t>
    </r>
    <r>
      <rPr>
        <sz val="12"/>
        <color indexed="10"/>
        <rFont val="Arial"/>
        <family val="2"/>
      </rPr>
      <t>+</t>
    </r>
    <r>
      <rPr>
        <i/>
        <sz val="12"/>
        <color indexed="10"/>
        <rFont val="Arial"/>
        <family val="2"/>
      </rPr>
      <t>S</t>
    </r>
    <r>
      <rPr>
        <vertAlign val="subscript"/>
        <sz val="12"/>
        <color indexed="10"/>
        <rFont val="Arial"/>
        <family val="2"/>
      </rPr>
      <t>NH4</t>
    </r>
    <r>
      <rPr>
        <sz val="12"/>
        <color indexed="10"/>
        <rFont val="Arial"/>
        <family val="2"/>
      </rPr>
      <t>)]*[</t>
    </r>
    <r>
      <rPr>
        <i/>
        <sz val="12"/>
        <color indexed="10"/>
        <rFont val="Arial"/>
        <family val="2"/>
      </rPr>
      <t>S</t>
    </r>
    <r>
      <rPr>
        <vertAlign val="subscript"/>
        <sz val="12"/>
        <color indexed="10"/>
        <rFont val="Arial"/>
        <family val="2"/>
      </rPr>
      <t>PO4</t>
    </r>
    <r>
      <rPr>
        <sz val="12"/>
        <color indexed="10"/>
        <rFont val="Arial"/>
        <family val="2"/>
      </rPr>
      <t>/(</t>
    </r>
    <r>
      <rPr>
        <i/>
        <sz val="12"/>
        <color indexed="10"/>
        <rFont val="Arial"/>
        <family val="2"/>
      </rPr>
      <t>K</t>
    </r>
    <r>
      <rPr>
        <vertAlign val="subscript"/>
        <sz val="12"/>
        <color indexed="10"/>
        <rFont val="Arial"/>
        <family val="2"/>
      </rPr>
      <t>PO4,lys</t>
    </r>
    <r>
      <rPr>
        <sz val="12"/>
        <color indexed="10"/>
        <rFont val="Arial"/>
        <family val="2"/>
      </rPr>
      <t>+</t>
    </r>
    <r>
      <rPr>
        <i/>
        <sz val="12"/>
        <color indexed="10"/>
        <rFont val="Arial"/>
        <family val="2"/>
      </rPr>
      <t>S</t>
    </r>
    <r>
      <rPr>
        <vertAlign val="subscript"/>
        <sz val="12"/>
        <color indexed="10"/>
        <rFont val="Arial"/>
        <family val="2"/>
      </rPr>
      <t>PO4</t>
    </r>
    <r>
      <rPr>
        <sz val="12"/>
        <color indexed="10"/>
        <rFont val="Arial"/>
        <family val="2"/>
      </rPr>
      <t>)]</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</si>
  <si>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Cleavage of X</t>
    </r>
    <r>
      <rPr>
        <b/>
        <vertAlign val="subscript"/>
        <sz val="10"/>
        <color indexed="8"/>
        <rFont val="Arial"/>
        <family val="2"/>
      </rPr>
      <t>PP</t>
    </r>
    <r>
      <rPr>
        <b/>
        <sz val="10"/>
        <color indexed="8"/>
        <rFont val="Arial"/>
        <family val="2"/>
      </rPr>
      <t xml:space="preserve"> for anoxic maintenance</t>
    </r>
  </si>
  <si>
    <r>
      <t>b</t>
    </r>
    <r>
      <rPr>
        <vertAlign val="subscript"/>
        <sz val="12"/>
        <color indexed="8"/>
        <rFont val="Arial"/>
        <family val="2"/>
      </rPr>
      <t>PP</t>
    </r>
    <r>
      <rPr>
        <sz val="10"/>
        <color indexed="8"/>
        <rFont val="Arial"/>
        <family val="2"/>
      </rPr>
      <t>*(1</t>
    </r>
    <r>
      <rPr>
        <sz val="12"/>
        <color indexed="8"/>
        <rFont val="Arial"/>
        <family val="2"/>
      </rPr>
      <t>-</t>
    </r>
    <r>
      <rPr>
        <i/>
        <sz val="12"/>
        <color indexed="8"/>
        <rFont val="Arial"/>
        <family val="2"/>
      </rPr>
      <t>η</t>
    </r>
    <r>
      <rPr>
        <vertAlign val="subscript"/>
        <sz val="12"/>
        <color indexed="8"/>
        <rFont val="Arial"/>
        <family val="2"/>
      </rPr>
      <t>PAO</t>
    </r>
    <r>
      <rPr>
        <sz val="10"/>
        <color indexed="8"/>
        <rFont val="Arial"/>
        <family val="2"/>
      </rPr>
      <t>)</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sz val="10"/>
        <color indexed="8"/>
        <rFont val="Arial"/>
        <family val="2"/>
      </rPr>
      <t>(</t>
    </r>
    <r>
      <rPr>
        <i/>
        <sz val="12"/>
        <color indexed="8"/>
        <rFont val="Arial"/>
        <family val="2"/>
      </rPr>
      <t>K</t>
    </r>
    <r>
      <rPr>
        <vertAlign val="subscript"/>
        <sz val="12"/>
        <color indexed="8"/>
        <rFont val="Arial"/>
        <family val="2"/>
      </rPr>
      <t>OH</t>
    </r>
    <r>
      <rPr>
        <sz val="10"/>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sz val="10"/>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i/>
        <sz val="12"/>
        <color indexed="8"/>
        <rFont val="Arial"/>
        <family val="2"/>
      </rPr>
      <t>K</t>
    </r>
    <r>
      <rPr>
        <vertAlign val="subscript"/>
        <sz val="12"/>
        <color indexed="8"/>
        <rFont val="Arial"/>
        <family val="2"/>
      </rPr>
      <t>NO3</t>
    </r>
    <r>
      <rPr>
        <sz val="10"/>
        <color indexed="8"/>
        <rFont val="Arial"/>
        <family val="2"/>
      </rPr>
      <t>+</t>
    </r>
    <r>
      <rPr>
        <i/>
        <sz val="12"/>
        <color indexed="8"/>
        <rFont val="Arial"/>
        <family val="2"/>
      </rPr>
      <t>S</t>
    </r>
    <r>
      <rPr>
        <vertAlign val="subscript"/>
        <sz val="12"/>
        <color indexed="8"/>
        <rFont val="Arial"/>
        <family val="2"/>
      </rPr>
      <t>NO3</t>
    </r>
    <r>
      <rPr>
        <sz val="12"/>
        <color indexed="8"/>
        <rFont val="Arial"/>
        <family val="2"/>
      </rPr>
      <t>)]</t>
    </r>
    <r>
      <rPr>
        <sz val="10"/>
        <color indexed="8"/>
        <rFont val="Arial"/>
        <family val="2"/>
      </rPr>
      <t>*</t>
    </r>
    <r>
      <rPr>
        <sz val="12"/>
        <color indexed="8"/>
        <rFont val="Arial"/>
        <family val="2"/>
      </rPr>
      <t>[</t>
    </r>
    <r>
      <rPr>
        <i/>
        <sz val="12"/>
        <color indexed="8"/>
        <rFont val="Arial"/>
        <family val="2"/>
      </rPr>
      <t>X</t>
    </r>
    <r>
      <rPr>
        <vertAlign val="subscript"/>
        <sz val="12"/>
        <color indexed="8"/>
        <rFont val="Arial"/>
        <family val="2"/>
      </rPr>
      <t>PP</t>
    </r>
    <r>
      <rPr>
        <sz val="10"/>
        <color indexed="8"/>
        <rFont val="Arial"/>
        <family val="2"/>
      </rPr>
      <t>/</t>
    </r>
    <r>
      <rPr>
        <sz val="12"/>
        <color indexed="8"/>
        <rFont val="Arial"/>
        <family val="2"/>
      </rPr>
      <t>(</t>
    </r>
    <r>
      <rPr>
        <i/>
        <sz val="12"/>
        <color indexed="8"/>
        <rFont val="Arial"/>
        <family val="2"/>
      </rPr>
      <t>K</t>
    </r>
    <r>
      <rPr>
        <vertAlign val="subscript"/>
        <sz val="12"/>
        <color indexed="8"/>
        <rFont val="Arial"/>
        <family val="2"/>
      </rPr>
      <t>PP</t>
    </r>
    <r>
      <rPr>
        <sz val="10"/>
        <color indexed="8"/>
        <rFont val="Arial"/>
        <family val="2"/>
      </rPr>
      <t>+</t>
    </r>
    <r>
      <rPr>
        <i/>
        <sz val="12"/>
        <color indexed="8"/>
        <rFont val="Arial"/>
        <family val="2"/>
      </rPr>
      <t>X</t>
    </r>
    <r>
      <rPr>
        <vertAlign val="subscript"/>
        <sz val="12"/>
        <color indexed="8"/>
        <rFont val="Arial"/>
        <family val="2"/>
      </rPr>
      <t>PP</t>
    </r>
    <r>
      <rPr>
        <sz val="10"/>
        <color indexed="8"/>
        <rFont val="Arial"/>
        <family val="2"/>
      </rPr>
      <t>)]*</t>
    </r>
    <r>
      <rPr>
        <i/>
        <sz val="12"/>
        <color indexed="8"/>
        <rFont val="Arial"/>
        <family val="2"/>
      </rPr>
      <t>X</t>
    </r>
    <r>
      <rPr>
        <vertAlign val="subscript"/>
        <sz val="12"/>
        <color indexed="8"/>
        <rFont val="Arial"/>
        <family val="2"/>
      </rPr>
      <t>PAO</t>
    </r>
  </si>
  <si>
    <r>
      <t>Cleavage of X</t>
    </r>
    <r>
      <rPr>
        <b/>
        <vertAlign val="subscript"/>
        <sz val="10"/>
        <color indexed="8"/>
        <rFont val="Arial"/>
        <family val="2"/>
      </rPr>
      <t>PP</t>
    </r>
    <r>
      <rPr>
        <b/>
        <sz val="10"/>
        <color indexed="8"/>
        <rFont val="Arial"/>
        <family val="2"/>
      </rPr>
      <t xml:space="preserve"> for anaerobic maintenance</t>
    </r>
  </si>
  <si>
    <r>
      <t>b</t>
    </r>
    <r>
      <rPr>
        <vertAlign val="subscript"/>
        <sz val="12"/>
        <color indexed="8"/>
        <rFont val="Arial"/>
        <family val="2"/>
      </rPr>
      <t>PP</t>
    </r>
    <r>
      <rPr>
        <sz val="10"/>
        <color indexed="8"/>
        <rFont val="Arial"/>
        <family val="2"/>
      </rPr>
      <t>*</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K</t>
    </r>
    <r>
      <rPr>
        <vertAlign val="subscript"/>
        <sz val="12"/>
        <color indexed="8"/>
        <rFont val="Arial"/>
        <family val="2"/>
      </rPr>
      <t>OH</t>
    </r>
    <r>
      <rPr>
        <sz val="10"/>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sz val="10"/>
        <color indexed="8"/>
        <rFont val="Arial"/>
        <family val="2"/>
      </rPr>
      <t>[</t>
    </r>
    <r>
      <rPr>
        <i/>
        <sz val="12"/>
        <color indexed="8"/>
        <rFont val="Arial"/>
        <family val="2"/>
      </rPr>
      <t>K</t>
    </r>
    <r>
      <rPr>
        <vertAlign val="subscript"/>
        <sz val="12"/>
        <color indexed="8"/>
        <rFont val="Arial"/>
        <family val="2"/>
      </rPr>
      <t>NO3</t>
    </r>
    <r>
      <rPr>
        <sz val="10"/>
        <color indexed="8"/>
        <rFont val="Arial"/>
        <family val="2"/>
      </rPr>
      <t>/</t>
    </r>
    <r>
      <rPr>
        <sz val="12"/>
        <color indexed="8"/>
        <rFont val="Arial"/>
        <family val="2"/>
      </rPr>
      <t>(</t>
    </r>
    <r>
      <rPr>
        <i/>
        <sz val="12"/>
        <color indexed="8"/>
        <rFont val="Arial"/>
        <family val="2"/>
      </rPr>
      <t>K</t>
    </r>
    <r>
      <rPr>
        <vertAlign val="subscript"/>
        <sz val="12"/>
        <color indexed="8"/>
        <rFont val="Arial"/>
        <family val="2"/>
      </rPr>
      <t>NO3</t>
    </r>
    <r>
      <rPr>
        <sz val="10"/>
        <color indexed="8"/>
        <rFont val="Arial"/>
        <family val="2"/>
      </rPr>
      <t>+</t>
    </r>
    <r>
      <rPr>
        <i/>
        <sz val="12"/>
        <color indexed="8"/>
        <rFont val="Arial"/>
        <family val="2"/>
      </rPr>
      <t>S</t>
    </r>
    <r>
      <rPr>
        <vertAlign val="subscript"/>
        <sz val="12"/>
        <color indexed="8"/>
        <rFont val="Arial"/>
        <family val="2"/>
      </rPr>
      <t>NO3</t>
    </r>
    <r>
      <rPr>
        <sz val="10"/>
        <color indexed="8"/>
        <rFont val="Arial"/>
        <family val="2"/>
      </rPr>
      <t>)</t>
    </r>
    <r>
      <rPr>
        <sz val="12"/>
        <color indexed="8"/>
        <rFont val="Arial"/>
        <family val="2"/>
      </rPr>
      <t>]*</t>
    </r>
    <r>
      <rPr>
        <sz val="10"/>
        <color indexed="8"/>
        <rFont val="Arial"/>
        <family val="2"/>
      </rPr>
      <t>[</t>
    </r>
    <r>
      <rPr>
        <i/>
        <sz val="12"/>
        <color indexed="8"/>
        <rFont val="Arial"/>
        <family val="2"/>
      </rPr>
      <t>X</t>
    </r>
    <r>
      <rPr>
        <vertAlign val="subscript"/>
        <sz val="12"/>
        <color indexed="8"/>
        <rFont val="Arial"/>
        <family val="2"/>
      </rPr>
      <t>PP</t>
    </r>
    <r>
      <rPr>
        <sz val="10"/>
        <color indexed="8"/>
        <rFont val="Arial"/>
        <family val="2"/>
      </rPr>
      <t>/(</t>
    </r>
    <r>
      <rPr>
        <i/>
        <sz val="12"/>
        <color indexed="8"/>
        <rFont val="Arial"/>
        <family val="2"/>
      </rPr>
      <t>K</t>
    </r>
    <r>
      <rPr>
        <vertAlign val="subscript"/>
        <sz val="12"/>
        <color indexed="8"/>
        <rFont val="Arial"/>
        <family val="2"/>
      </rPr>
      <t>PP</t>
    </r>
    <r>
      <rPr>
        <sz val="10"/>
        <color indexed="8"/>
        <rFont val="Arial"/>
        <family val="2"/>
      </rPr>
      <t>+</t>
    </r>
    <r>
      <rPr>
        <i/>
        <sz val="12"/>
        <color indexed="8"/>
        <rFont val="Arial"/>
        <family val="2"/>
      </rPr>
      <t>X</t>
    </r>
    <r>
      <rPr>
        <vertAlign val="subscript"/>
        <sz val="12"/>
        <color indexed="8"/>
        <rFont val="Arial"/>
        <family val="2"/>
      </rPr>
      <t>PP</t>
    </r>
    <r>
      <rPr>
        <sz val="10"/>
        <color indexed="8"/>
        <rFont val="Arial"/>
        <family val="2"/>
      </rPr>
      <t>)]*</t>
    </r>
    <r>
      <rPr>
        <i/>
        <sz val="12"/>
        <color indexed="8"/>
        <rFont val="Arial"/>
        <family val="2"/>
      </rPr>
      <t>X</t>
    </r>
    <r>
      <rPr>
        <vertAlign val="subscript"/>
        <sz val="12"/>
        <color indexed="8"/>
        <rFont val="Arial"/>
        <family val="2"/>
      </rPr>
      <t>PAO</t>
    </r>
  </si>
  <si>
    <r>
      <t>Sequestration of S</t>
    </r>
    <r>
      <rPr>
        <b/>
        <vertAlign val="subscript"/>
        <sz val="10"/>
        <color indexed="8"/>
        <rFont val="Arial"/>
        <family val="2"/>
      </rPr>
      <t>A</t>
    </r>
    <r>
      <rPr>
        <b/>
        <sz val="10"/>
        <color indexed="8"/>
        <rFont val="Arial"/>
        <family val="2"/>
      </rPr>
      <t xml:space="preserve"> by X</t>
    </r>
    <r>
      <rPr>
        <b/>
        <vertAlign val="subscript"/>
        <sz val="10"/>
        <color indexed="8"/>
        <rFont val="Arial"/>
        <family val="2"/>
      </rPr>
      <t>PAO</t>
    </r>
  </si>
  <si>
    <r>
      <t>q</t>
    </r>
    <r>
      <rPr>
        <vertAlign val="subscript"/>
        <sz val="12"/>
        <color indexed="8"/>
        <rFont val="Arial"/>
        <family val="2"/>
      </rPr>
      <t>PHA</t>
    </r>
    <r>
      <rPr>
        <sz val="10"/>
        <color indexed="8"/>
        <rFont val="Arial"/>
        <family val="2"/>
      </rPr>
      <t>*</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8"/>
        <rFont val="Arial"/>
        <family val="2"/>
      </rPr>
      <t>K</t>
    </r>
    <r>
      <rPr>
        <vertAlign val="subscript"/>
        <sz val="12"/>
        <color indexed="8"/>
        <rFont val="Arial"/>
        <family val="2"/>
      </rPr>
      <t>AC</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8"/>
        <rFont val="Arial"/>
        <family val="2"/>
      </rPr>
      <t>X</t>
    </r>
    <r>
      <rPr>
        <vertAlign val="subscript"/>
        <sz val="12"/>
        <color indexed="8"/>
        <rFont val="Arial"/>
        <family val="2"/>
      </rPr>
      <t>PP</t>
    </r>
    <r>
      <rPr>
        <sz val="12"/>
        <color indexed="8"/>
        <rFont val="Arial"/>
        <family val="2"/>
      </rPr>
      <t>/(</t>
    </r>
    <r>
      <rPr>
        <i/>
        <sz val="12"/>
        <color indexed="8"/>
        <rFont val="Arial"/>
        <family val="2"/>
      </rPr>
      <t>K</t>
    </r>
    <r>
      <rPr>
        <vertAlign val="subscript"/>
        <sz val="12"/>
        <color indexed="8"/>
        <rFont val="Arial"/>
        <family val="2"/>
      </rPr>
      <t>PP</t>
    </r>
    <r>
      <rPr>
        <sz val="12"/>
        <color indexed="8"/>
        <rFont val="Arial"/>
        <family val="2"/>
      </rPr>
      <t>+</t>
    </r>
    <r>
      <rPr>
        <i/>
        <sz val="12"/>
        <color indexed="8"/>
        <rFont val="Arial"/>
        <family val="2"/>
      </rPr>
      <t>X</t>
    </r>
    <r>
      <rPr>
        <vertAlign val="subscript"/>
        <sz val="12"/>
        <color indexed="8"/>
        <rFont val="Arial"/>
        <family val="2"/>
      </rPr>
      <t>PP</t>
    </r>
    <r>
      <rPr>
        <sz val="12"/>
        <color indexed="8"/>
        <rFont val="Arial"/>
        <family val="2"/>
      </rPr>
      <t>)]*</t>
    </r>
    <r>
      <rPr>
        <i/>
        <sz val="12"/>
        <color indexed="8"/>
        <rFont val="Arial"/>
        <family val="2"/>
      </rPr>
      <t>X</t>
    </r>
    <r>
      <rPr>
        <vertAlign val="subscript"/>
        <sz val="12"/>
        <color indexed="8"/>
        <rFont val="Arial"/>
        <family val="2"/>
      </rPr>
      <t>PAO</t>
    </r>
  </si>
  <si>
    <r>
      <t>K</t>
    </r>
    <r>
      <rPr>
        <vertAlign val="subscript"/>
        <sz val="12"/>
        <rFont val="Arial"/>
        <family val="2"/>
      </rPr>
      <t>PO4</t>
    </r>
    <r>
      <rPr>
        <b/>
        <vertAlign val="subscript"/>
        <sz val="12"/>
        <rFont val="Arial"/>
        <family val="2"/>
      </rPr>
      <t>-</t>
    </r>
    <r>
      <rPr>
        <vertAlign val="subscript"/>
        <sz val="12"/>
        <rFont val="Arial"/>
        <family val="2"/>
      </rPr>
      <t>gro</t>
    </r>
  </si>
  <si>
    <r>
      <t>Rate constant for X</t>
    </r>
    <r>
      <rPr>
        <vertAlign val="subscript"/>
        <sz val="10"/>
        <rFont val="Arial"/>
        <family val="2"/>
      </rPr>
      <t>Ads</t>
    </r>
    <r>
      <rPr>
        <sz val="10"/>
        <rFont val="Arial"/>
        <family val="2"/>
      </rPr>
      <t xml:space="preserve"> adsorption </t>
    </r>
  </si>
  <si>
    <r>
      <t>g X</t>
    </r>
    <r>
      <rPr>
        <vertAlign val="subscript"/>
        <sz val="8"/>
        <rFont val="Arial"/>
        <family val="2"/>
      </rPr>
      <t>Ads</t>
    </r>
    <r>
      <rPr>
        <sz val="8"/>
        <rFont val="Arial"/>
        <family val="2"/>
      </rPr>
      <t>.g XC</t>
    </r>
    <r>
      <rPr>
        <vertAlign val="subscript"/>
        <sz val="8"/>
        <rFont val="Arial"/>
        <family val="2"/>
      </rPr>
      <t>B</t>
    </r>
    <r>
      <rPr>
        <vertAlign val="superscript"/>
        <sz val="8"/>
        <rFont val="Arial"/>
        <family val="2"/>
      </rPr>
      <t>-1</t>
    </r>
    <r>
      <rPr>
        <sz val="8"/>
        <rFont val="Arial"/>
        <family val="2"/>
      </rPr>
      <t>.d</t>
    </r>
    <r>
      <rPr>
        <vertAlign val="superscript"/>
        <sz val="10"/>
        <rFont val="Arial"/>
        <family val="2"/>
      </rPr>
      <t>-1</t>
    </r>
  </si>
  <si>
    <r>
      <t>Aerobic growth of X</t>
    </r>
    <r>
      <rPr>
        <b/>
        <vertAlign val="subscript"/>
        <sz val="10"/>
        <color indexed="8"/>
        <rFont val="Arial"/>
        <family val="2"/>
      </rPr>
      <t xml:space="preserve">OHO </t>
    </r>
    <r>
      <rPr>
        <b/>
        <sz val="10"/>
        <color indexed="8"/>
        <rFont val="Arial"/>
        <family val="2"/>
      </rPr>
      <t>on S</t>
    </r>
    <r>
      <rPr>
        <b/>
        <vertAlign val="subscript"/>
        <sz val="10"/>
        <color indexed="8"/>
        <rFont val="Arial"/>
        <family val="2"/>
      </rPr>
      <t>Ac</t>
    </r>
    <r>
      <rPr>
        <b/>
        <sz val="10"/>
        <color indexed="8"/>
        <rFont val="Arial"/>
        <family val="2"/>
      </rPr>
      <t xml:space="preserve"> with S</t>
    </r>
    <r>
      <rPr>
        <b/>
        <vertAlign val="subscript"/>
        <sz val="10"/>
        <color indexed="8"/>
        <rFont val="Arial"/>
        <family val="2"/>
      </rPr>
      <t>NHx</t>
    </r>
  </si>
  <si>
    <r>
      <t>μ</t>
    </r>
    <r>
      <rPr>
        <vertAlign val="subscript"/>
        <sz val="12"/>
        <color indexed="8"/>
        <rFont val="Arial"/>
        <family val="2"/>
      </rPr>
      <t>OHO,Max</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K</t>
    </r>
    <r>
      <rPr>
        <vertAlign val="subscript"/>
        <sz val="12"/>
        <color indexed="8"/>
        <rFont val="Arial"/>
        <family val="2"/>
      </rPr>
      <t>Ac,OHO</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</si>
  <si>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-(1-</t>
    </r>
    <r>
      <rPr>
        <i/>
        <sz val="12"/>
        <color indexed="8"/>
        <rFont val="Arial"/>
        <family val="2"/>
      </rPr>
      <t>Y</t>
    </r>
    <r>
      <rPr>
        <vertAlign val="subscript"/>
        <sz val="12"/>
        <color indexed="8"/>
        <rFont val="Arial"/>
        <family val="2"/>
      </rPr>
      <t>OHO,Ox</t>
    </r>
    <r>
      <rPr>
        <sz val="12"/>
        <color indexed="8"/>
        <rFont val="Arial"/>
        <family val="2"/>
      </rPr>
      <t>)/</t>
    </r>
    <r>
      <rPr>
        <i/>
        <sz val="12"/>
        <color indexed="8"/>
        <rFont val="Arial"/>
        <family val="2"/>
      </rPr>
      <t>Y</t>
    </r>
    <r>
      <rPr>
        <vertAlign val="subscript"/>
        <sz val="12"/>
        <color indexed="8"/>
        <rFont val="Arial"/>
        <family val="2"/>
      </rPr>
      <t>OHO,Ox</t>
    </r>
    <r>
      <rPr>
        <sz val="12"/>
        <color indexed="10"/>
        <rFont val="Arial"/>
        <family val="2"/>
      </rPr>
      <t>-</t>
    </r>
    <r>
      <rPr>
        <i/>
        <sz val="12"/>
        <color indexed="10"/>
        <rFont val="Arial"/>
        <family val="2"/>
      </rPr>
      <t>i</t>
    </r>
    <r>
      <rPr>
        <vertAlign val="subscript"/>
        <sz val="12"/>
        <color indexed="10"/>
        <rFont val="Arial"/>
        <family val="2"/>
      </rPr>
      <t>COD_NOx</t>
    </r>
    <r>
      <rPr>
        <sz val="12"/>
        <color indexed="10"/>
        <rFont val="Arial"/>
        <family val="2"/>
      </rPr>
      <t>*</t>
    </r>
    <r>
      <rPr>
        <i/>
        <sz val="12"/>
        <color indexed="10"/>
        <rFont val="Arial"/>
        <family val="2"/>
      </rPr>
      <t>i</t>
    </r>
    <r>
      <rPr>
        <vertAlign val="subscript"/>
        <sz val="12"/>
        <color indexed="10"/>
        <rFont val="Arial"/>
        <family val="2"/>
      </rPr>
      <t>N_XBio</t>
    </r>
  </si>
  <si>
    <r>
      <t>μ</t>
    </r>
    <r>
      <rPr>
        <vertAlign val="subscript"/>
        <sz val="12"/>
        <color indexed="8"/>
        <rFont val="Arial"/>
        <family val="2"/>
      </rPr>
      <t>OHO,Max</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K</t>
    </r>
    <r>
      <rPr>
        <vertAlign val="subscript"/>
        <sz val="12"/>
        <color indexed="8"/>
        <rFont val="Arial"/>
        <family val="2"/>
      </rPr>
      <t>Ac,OHO</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Ac</t>
    </r>
    <r>
      <rPr>
        <sz val="12"/>
        <color indexed="10"/>
        <rFont val="Arial"/>
        <family val="2"/>
      </rPr>
      <t>+</t>
    </r>
    <r>
      <rPr>
        <i/>
        <sz val="12"/>
        <color indexed="10"/>
        <rFont val="Arial"/>
        <family val="2"/>
      </rPr>
      <t>S</t>
    </r>
    <r>
      <rPr>
        <vertAlign val="subscript"/>
        <sz val="12"/>
        <color indexed="10"/>
        <rFont val="Arial"/>
        <family val="2"/>
      </rPr>
      <t>F</t>
    </r>
    <r>
      <rPr>
        <sz val="12"/>
        <color indexed="10"/>
        <rFont val="Arial"/>
        <family val="2"/>
      </rPr>
      <t>+</t>
    </r>
    <r>
      <rPr>
        <i/>
        <sz val="12"/>
        <color indexed="10"/>
        <rFont val="Arial"/>
        <family val="2"/>
      </rPr>
      <t>X</t>
    </r>
    <r>
      <rPr>
        <vertAlign val="subscript"/>
        <sz val="12"/>
        <color indexed="10"/>
        <rFont val="Arial"/>
        <family val="2"/>
      </rPr>
      <t>Ads</t>
    </r>
    <r>
      <rPr>
        <sz val="12"/>
        <color indexed="10"/>
        <rFont val="Arial"/>
        <family val="2"/>
      </rPr>
      <t>)]</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PO4,Bio,nut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OHO</t>
    </r>
  </si>
  <si>
    <r>
      <t>Anoxic growth of X</t>
    </r>
    <r>
      <rPr>
        <b/>
        <vertAlign val="subscript"/>
        <sz val="10"/>
        <color indexed="8"/>
        <rFont val="Arial"/>
        <family val="2"/>
      </rPr>
      <t xml:space="preserve">OHO </t>
    </r>
    <r>
      <rPr>
        <b/>
        <sz val="10"/>
        <color indexed="8"/>
        <rFont val="Arial"/>
        <family val="2"/>
      </rPr>
      <t>on S</t>
    </r>
    <r>
      <rPr>
        <b/>
        <vertAlign val="subscript"/>
        <sz val="10"/>
        <color indexed="8"/>
        <rFont val="Arial"/>
        <family val="2"/>
      </rPr>
      <t>Ac</t>
    </r>
    <r>
      <rPr>
        <b/>
        <sz val="10"/>
        <color indexed="8"/>
        <rFont val="Arial"/>
        <family val="2"/>
      </rPr>
      <t xml:space="preserve"> with S</t>
    </r>
    <r>
      <rPr>
        <b/>
        <vertAlign val="subscript"/>
        <sz val="10"/>
        <color indexed="8"/>
        <rFont val="Arial"/>
        <family val="2"/>
      </rPr>
      <t>NHx</t>
    </r>
  </si>
  <si>
    <r>
      <t>-</t>
    </r>
    <r>
      <rPr>
        <i/>
        <sz val="12"/>
        <rFont val="Arial"/>
        <family val="2"/>
      </rPr>
      <t>Y</t>
    </r>
    <r>
      <rPr>
        <vertAlign val="subscript"/>
        <sz val="12"/>
        <rFont val="Arial"/>
        <family val="2"/>
      </rPr>
      <t>PO4</t>
    </r>
  </si>
  <si>
    <r>
      <t>i</t>
    </r>
    <r>
      <rPr>
        <vertAlign val="subscript"/>
        <sz val="12"/>
        <rFont val="Arial"/>
        <family val="2"/>
      </rPr>
      <t>TSS,XSTO</t>
    </r>
    <r>
      <rPr>
        <sz val="12"/>
        <rFont val="Arial"/>
        <family val="2"/>
      </rPr>
      <t>-</t>
    </r>
    <r>
      <rPr>
        <i/>
        <sz val="12"/>
        <rFont val="Arial"/>
        <family val="2"/>
      </rPr>
      <t>i</t>
    </r>
    <r>
      <rPr>
        <vertAlign val="subscript"/>
        <sz val="12"/>
        <rFont val="Arial"/>
        <family val="2"/>
      </rPr>
      <t>TSS,XPP</t>
    </r>
    <r>
      <rPr>
        <sz val="12"/>
        <rFont val="Arial"/>
        <family val="2"/>
      </rPr>
      <t>*</t>
    </r>
    <r>
      <rPr>
        <i/>
        <sz val="12"/>
        <rFont val="Arial"/>
        <family val="2"/>
      </rPr>
      <t>Y</t>
    </r>
    <r>
      <rPr>
        <vertAlign val="subscript"/>
        <sz val="12"/>
        <rFont val="Arial"/>
        <family val="2"/>
      </rPr>
      <t>PO4</t>
    </r>
  </si>
  <si>
    <r>
      <t>q</t>
    </r>
    <r>
      <rPr>
        <vertAlign val="subscript"/>
        <sz val="12"/>
        <rFont val="Arial"/>
        <family val="2"/>
      </rPr>
      <t>PHA</t>
    </r>
    <r>
      <rPr>
        <sz val="11"/>
        <rFont val="Arial"/>
        <family val="2"/>
      </rPr>
      <t>*</t>
    </r>
    <r>
      <rPr>
        <sz val="12"/>
        <rFont val="Arial"/>
        <family val="2"/>
      </rPr>
      <t>[</t>
    </r>
    <r>
      <rPr>
        <i/>
        <sz val="12"/>
        <rFont val="Arial"/>
        <family val="2"/>
      </rPr>
      <t>S</t>
    </r>
    <r>
      <rPr>
        <vertAlign val="subscript"/>
        <sz val="12"/>
        <rFont val="Arial"/>
        <family val="2"/>
      </rPr>
      <t>S</t>
    </r>
    <r>
      <rPr>
        <sz val="12"/>
        <rFont val="Arial"/>
        <family val="2"/>
      </rPr>
      <t>/(</t>
    </r>
    <r>
      <rPr>
        <i/>
        <sz val="12"/>
        <rFont val="Arial"/>
        <family val="2"/>
      </rPr>
      <t>K</t>
    </r>
    <r>
      <rPr>
        <vertAlign val="subscript"/>
        <sz val="12"/>
        <rFont val="Arial"/>
        <family val="2"/>
      </rPr>
      <t>SS,PAO</t>
    </r>
    <r>
      <rPr>
        <sz val="12"/>
        <rFont val="Arial"/>
        <family val="2"/>
      </rPr>
      <t>+</t>
    </r>
    <r>
      <rPr>
        <i/>
        <sz val="12"/>
        <rFont val="Arial"/>
        <family val="2"/>
      </rPr>
      <t>S</t>
    </r>
    <r>
      <rPr>
        <vertAlign val="subscript"/>
        <sz val="12"/>
        <rFont val="Arial"/>
        <family val="2"/>
      </rPr>
      <t>S</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K</t>
    </r>
    <r>
      <rPr>
        <vertAlign val="subscript"/>
        <sz val="12"/>
        <rFont val="Arial"/>
        <family val="2"/>
      </rPr>
      <t>HCO,PAO</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X</t>
    </r>
    <r>
      <rPr>
        <vertAlign val="subscript"/>
        <sz val="12"/>
        <rFont val="Arial"/>
        <family val="2"/>
      </rPr>
      <t>PP</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K</t>
    </r>
    <r>
      <rPr>
        <vertAlign val="subscript"/>
        <sz val="12"/>
        <rFont val="Arial"/>
        <family val="2"/>
      </rPr>
      <t>PP,PAO</t>
    </r>
    <r>
      <rPr>
        <sz val="12"/>
        <rFont val="Arial"/>
        <family val="2"/>
      </rPr>
      <t>+</t>
    </r>
    <r>
      <rPr>
        <i/>
        <sz val="12"/>
        <rFont val="Arial"/>
        <family val="2"/>
      </rPr>
      <t>X</t>
    </r>
    <r>
      <rPr>
        <vertAlign val="subscript"/>
        <sz val="12"/>
        <rFont val="Arial"/>
        <family val="2"/>
      </rPr>
      <t>PP</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X</t>
    </r>
    <r>
      <rPr>
        <vertAlign val="subscript"/>
        <sz val="12"/>
        <rFont val="Arial"/>
        <family val="2"/>
      </rPr>
      <t>PAO</t>
    </r>
  </si>
  <si>
    <r>
      <t>Aerobic storage of X</t>
    </r>
    <r>
      <rPr>
        <b/>
        <vertAlign val="subscript"/>
        <sz val="11"/>
        <rFont val="Arial"/>
        <family val="2"/>
      </rPr>
      <t>PP</t>
    </r>
  </si>
  <si>
    <r>
      <t>-</t>
    </r>
    <r>
      <rPr>
        <i/>
        <sz val="12"/>
        <rFont val="Arial"/>
        <family val="2"/>
      </rPr>
      <t>Y</t>
    </r>
    <r>
      <rPr>
        <vertAlign val="subscript"/>
        <sz val="12"/>
        <rFont val="Arial"/>
        <family val="2"/>
      </rPr>
      <t>PHA</t>
    </r>
  </si>
  <si>
    <r>
      <t>v</t>
    </r>
    <r>
      <rPr>
        <vertAlign val="subscript"/>
        <sz val="12"/>
        <rFont val="Arial"/>
        <family val="2"/>
      </rPr>
      <t>P02_PO4</t>
    </r>
    <r>
      <rPr>
        <sz val="12"/>
        <rFont val="Arial"/>
        <family val="2"/>
      </rPr>
      <t>*</t>
    </r>
    <r>
      <rPr>
        <i/>
        <sz val="12"/>
        <rFont val="Arial"/>
        <family val="2"/>
      </rPr>
      <t>i</t>
    </r>
    <r>
      <rPr>
        <vertAlign val="subscript"/>
        <sz val="12"/>
        <rFont val="Arial"/>
        <family val="2"/>
      </rPr>
      <t>Charge_PO4</t>
    </r>
    <r>
      <rPr>
        <sz val="12"/>
        <rFont val="Arial"/>
        <family val="2"/>
      </rPr>
      <t>+</t>
    </r>
    <r>
      <rPr>
        <i/>
        <sz val="12"/>
        <rFont val="Arial"/>
        <family val="2"/>
      </rPr>
      <t>v</t>
    </r>
    <r>
      <rPr>
        <vertAlign val="subscript"/>
        <sz val="12"/>
        <rFont val="Arial"/>
        <family val="2"/>
      </rPr>
      <t>P02_PP</t>
    </r>
    <r>
      <rPr>
        <sz val="12"/>
        <rFont val="Arial"/>
        <family val="2"/>
      </rPr>
      <t>*</t>
    </r>
    <r>
      <rPr>
        <i/>
        <sz val="12"/>
        <rFont val="Arial"/>
        <family val="2"/>
      </rPr>
      <t>i</t>
    </r>
    <r>
      <rPr>
        <vertAlign val="subscript"/>
        <sz val="12"/>
        <rFont val="Arial"/>
        <family val="2"/>
      </rPr>
      <t>Charge_XPAO,PP</t>
    </r>
  </si>
  <si>
    <r>
      <t>-</t>
    </r>
    <r>
      <rPr>
        <i/>
        <sz val="12"/>
        <rFont val="Arial"/>
        <family val="2"/>
      </rPr>
      <t>Y</t>
    </r>
    <r>
      <rPr>
        <vertAlign val="subscript"/>
        <sz val="12"/>
        <rFont val="Arial"/>
        <family val="2"/>
      </rPr>
      <t>PHA</t>
    </r>
    <r>
      <rPr>
        <sz val="12"/>
        <rFont val="Arial"/>
        <family val="2"/>
      </rPr>
      <t>*</t>
    </r>
    <r>
      <rPr>
        <i/>
        <sz val="12"/>
        <rFont val="Arial"/>
        <family val="2"/>
      </rPr>
      <t>i</t>
    </r>
    <r>
      <rPr>
        <vertAlign val="subscript"/>
        <sz val="12"/>
        <rFont val="Arial"/>
        <family val="2"/>
      </rPr>
      <t>TSS,XSTO</t>
    </r>
    <r>
      <rPr>
        <sz val="12"/>
        <rFont val="Arial"/>
        <family val="2"/>
      </rPr>
      <t>+</t>
    </r>
    <r>
      <rPr>
        <i/>
        <sz val="12"/>
        <rFont val="Arial"/>
        <family val="2"/>
      </rPr>
      <t>i</t>
    </r>
    <r>
      <rPr>
        <vertAlign val="subscript"/>
        <sz val="12"/>
        <rFont val="Arial"/>
        <family val="2"/>
      </rPr>
      <t>TSS,XPP</t>
    </r>
  </si>
  <si>
    <r>
      <t>q</t>
    </r>
    <r>
      <rPr>
        <vertAlign val="subscript"/>
        <sz val="12"/>
        <rFont val="Arial"/>
        <family val="2"/>
      </rPr>
      <t>PP</t>
    </r>
    <r>
      <rPr>
        <sz val="11"/>
        <rFont val="Arial"/>
        <family val="2"/>
      </rPr>
      <t>*</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K</t>
    </r>
    <r>
      <rPr>
        <vertAlign val="subscript"/>
        <sz val="12"/>
        <rFont val="Arial"/>
        <family val="2"/>
      </rPr>
      <t>O,PAO</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K</t>
    </r>
    <r>
      <rPr>
        <vertAlign val="subscript"/>
        <sz val="12"/>
        <rFont val="Arial"/>
        <family val="2"/>
      </rPr>
      <t>PO4,PP</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K</t>
    </r>
    <r>
      <rPr>
        <vertAlign val="subscript"/>
        <sz val="12"/>
        <rFont val="Arial"/>
        <family val="2"/>
      </rPr>
      <t>HCO,PAO</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X</t>
    </r>
    <r>
      <rPr>
        <vertAlign val="subscript"/>
        <sz val="12"/>
        <rFont val="Arial"/>
        <family val="2"/>
      </rPr>
      <t>PHA</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K</t>
    </r>
    <r>
      <rPr>
        <vertAlign val="subscript"/>
        <sz val="12"/>
        <rFont val="Arial"/>
        <family val="2"/>
      </rPr>
      <t>PHA</t>
    </r>
    <r>
      <rPr>
        <sz val="12"/>
        <rFont val="Arial"/>
        <family val="2"/>
      </rPr>
      <t>+</t>
    </r>
    <r>
      <rPr>
        <i/>
        <sz val="12"/>
        <rFont val="Arial"/>
        <family val="2"/>
      </rPr>
      <t>X</t>
    </r>
    <r>
      <rPr>
        <vertAlign val="subscript"/>
        <sz val="12"/>
        <rFont val="Arial"/>
        <family val="2"/>
      </rPr>
      <t>PHA</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K</t>
    </r>
    <r>
      <rPr>
        <vertAlign val="subscript"/>
        <sz val="12"/>
        <rFont val="Arial"/>
        <family val="2"/>
      </rPr>
      <t>max,PAO</t>
    </r>
    <r>
      <rPr>
        <sz val="12"/>
        <rFont val="Arial"/>
        <family val="2"/>
      </rPr>
      <t>-(</t>
    </r>
    <r>
      <rPr>
        <i/>
        <sz val="12"/>
        <rFont val="Arial"/>
        <family val="2"/>
      </rPr>
      <t>X</t>
    </r>
    <r>
      <rPr>
        <vertAlign val="subscript"/>
        <sz val="12"/>
        <rFont val="Arial"/>
        <family val="2"/>
      </rPr>
      <t>PP</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K</t>
    </r>
    <r>
      <rPr>
        <vertAlign val="subscript"/>
        <sz val="12"/>
        <rFont val="Arial"/>
        <family val="2"/>
      </rPr>
      <t>iPP,PAO</t>
    </r>
    <r>
      <rPr>
        <sz val="12"/>
        <rFont val="Arial"/>
        <family val="2"/>
      </rPr>
      <t>+</t>
    </r>
    <r>
      <rPr>
        <i/>
        <sz val="12"/>
        <rFont val="Arial"/>
        <family val="2"/>
      </rPr>
      <t>K</t>
    </r>
    <r>
      <rPr>
        <vertAlign val="subscript"/>
        <sz val="12"/>
        <rFont val="Arial"/>
        <family val="2"/>
      </rPr>
      <t>max,PAO</t>
    </r>
    <r>
      <rPr>
        <sz val="12"/>
        <rFont val="Arial"/>
        <family val="2"/>
      </rPr>
      <t>-(</t>
    </r>
    <r>
      <rPr>
        <i/>
        <sz val="12"/>
        <rFont val="Arial"/>
        <family val="2"/>
      </rPr>
      <t>X</t>
    </r>
    <r>
      <rPr>
        <vertAlign val="subscript"/>
        <sz val="12"/>
        <rFont val="Arial"/>
        <family val="2"/>
      </rPr>
      <t>PP</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X</t>
    </r>
    <r>
      <rPr>
        <vertAlign val="subscript"/>
        <sz val="12"/>
        <rFont val="Arial"/>
        <family val="2"/>
      </rPr>
      <t>PAO</t>
    </r>
  </si>
  <si>
    <r>
      <t>Anoxic storage of X</t>
    </r>
    <r>
      <rPr>
        <b/>
        <vertAlign val="subscript"/>
        <sz val="11"/>
        <rFont val="Arial"/>
        <family val="2"/>
      </rPr>
      <t>PP</t>
    </r>
  </si>
  <si>
    <r>
      <t>-</t>
    </r>
    <r>
      <rPr>
        <i/>
        <sz val="12"/>
        <rFont val="Arial"/>
        <family val="2"/>
      </rPr>
      <t>Y</t>
    </r>
    <r>
      <rPr>
        <vertAlign val="subscript"/>
        <sz val="12"/>
        <rFont val="Arial"/>
        <family val="2"/>
      </rPr>
      <t>PHA</t>
    </r>
    <r>
      <rPr>
        <sz val="12"/>
        <rFont val="Arial"/>
        <family val="2"/>
      </rPr>
      <t>/</t>
    </r>
    <r>
      <rPr>
        <i/>
        <sz val="12"/>
        <rFont val="Arial"/>
        <family val="2"/>
      </rPr>
      <t>i</t>
    </r>
    <r>
      <rPr>
        <vertAlign val="subscript"/>
        <sz val="12"/>
        <rFont val="Arial"/>
        <family val="2"/>
      </rPr>
      <t>NOx,N2</t>
    </r>
  </si>
  <si>
    <r>
      <t>Y</t>
    </r>
    <r>
      <rPr>
        <vertAlign val="subscript"/>
        <sz val="12"/>
        <rFont val="Arial"/>
        <family val="2"/>
      </rPr>
      <t>PHA</t>
    </r>
    <r>
      <rPr>
        <sz val="12"/>
        <rFont val="Arial"/>
        <family val="2"/>
      </rPr>
      <t>/</t>
    </r>
    <r>
      <rPr>
        <i/>
        <sz val="12"/>
        <rFont val="Arial"/>
        <family val="2"/>
      </rPr>
      <t>i</t>
    </r>
    <r>
      <rPr>
        <vertAlign val="subscript"/>
        <sz val="12"/>
        <rFont val="Arial"/>
        <family val="2"/>
      </rPr>
      <t>NOx,N2</t>
    </r>
  </si>
  <si>
    <r>
      <t>v</t>
    </r>
    <r>
      <rPr>
        <vertAlign val="subscript"/>
        <sz val="12"/>
        <rFont val="Arial"/>
        <family val="2"/>
      </rPr>
      <t>P03_NO</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v</t>
    </r>
    <r>
      <rPr>
        <vertAlign val="subscript"/>
        <sz val="12"/>
        <rFont val="Arial"/>
        <family val="2"/>
      </rPr>
      <t>P03_PO4</t>
    </r>
    <r>
      <rPr>
        <sz val="12"/>
        <rFont val="Arial"/>
        <family val="2"/>
      </rPr>
      <t>*</t>
    </r>
    <r>
      <rPr>
        <i/>
        <sz val="12"/>
        <rFont val="Arial"/>
        <family val="2"/>
      </rPr>
      <t>i</t>
    </r>
    <r>
      <rPr>
        <vertAlign val="subscript"/>
        <sz val="12"/>
        <rFont val="Arial"/>
        <family val="2"/>
      </rPr>
      <t>Charge_PO4</t>
    </r>
    <r>
      <rPr>
        <sz val="12"/>
        <rFont val="Arial"/>
        <family val="2"/>
      </rPr>
      <t>+</t>
    </r>
    <r>
      <rPr>
        <i/>
        <sz val="12"/>
        <rFont val="Arial"/>
        <family val="2"/>
      </rPr>
      <t>v</t>
    </r>
    <r>
      <rPr>
        <vertAlign val="subscript"/>
        <sz val="12"/>
        <rFont val="Arial"/>
        <family val="2"/>
      </rPr>
      <t>P03_PP</t>
    </r>
    <r>
      <rPr>
        <sz val="12"/>
        <rFont val="Arial"/>
        <family val="2"/>
      </rPr>
      <t>*</t>
    </r>
    <r>
      <rPr>
        <i/>
        <sz val="12"/>
        <rFont val="Arial"/>
        <family val="2"/>
      </rPr>
      <t>i</t>
    </r>
    <r>
      <rPr>
        <vertAlign val="subscript"/>
        <sz val="12"/>
        <rFont val="Arial"/>
        <family val="2"/>
      </rPr>
      <t>Charge_XPAO,PP</t>
    </r>
  </si>
  <si>
    <r>
      <t>q</t>
    </r>
    <r>
      <rPr>
        <vertAlign val="subscript"/>
        <sz val="12"/>
        <rFont val="Arial"/>
        <family val="2"/>
      </rPr>
      <t>PP</t>
    </r>
    <r>
      <rPr>
        <sz val="12"/>
        <rFont val="Arial"/>
        <family val="2"/>
      </rPr>
      <t>*</t>
    </r>
    <r>
      <rPr>
        <i/>
        <sz val="12"/>
        <rFont val="Arial"/>
        <family val="2"/>
      </rPr>
      <t>η</t>
    </r>
    <r>
      <rPr>
        <vertAlign val="subscript"/>
        <sz val="12"/>
        <rFont val="Arial"/>
        <family val="2"/>
      </rPr>
      <t>NO,PAO</t>
    </r>
    <r>
      <rPr>
        <sz val="12"/>
        <rFont val="Arial"/>
        <family val="2"/>
      </rPr>
      <t>*[</t>
    </r>
    <r>
      <rPr>
        <i/>
        <sz val="12"/>
        <rFont val="Arial"/>
        <family val="2"/>
      </rPr>
      <t>K</t>
    </r>
    <r>
      <rPr>
        <vertAlign val="subscript"/>
        <sz val="12"/>
        <rFont val="Arial"/>
        <family val="2"/>
      </rPr>
      <t>O,PAO</t>
    </r>
    <r>
      <rPr>
        <sz val="12"/>
        <rFont val="Arial"/>
        <family val="2"/>
      </rPr>
      <t>/(</t>
    </r>
    <r>
      <rPr>
        <i/>
        <sz val="12"/>
        <rFont val="Arial"/>
        <family val="2"/>
      </rPr>
      <t>K</t>
    </r>
    <r>
      <rPr>
        <vertAlign val="subscript"/>
        <sz val="12"/>
        <rFont val="Arial"/>
        <family val="2"/>
      </rPr>
      <t>O,PAO</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S</t>
    </r>
    <r>
      <rPr>
        <vertAlign val="subscript"/>
        <sz val="12"/>
        <rFont val="Arial"/>
        <family val="2"/>
      </rPr>
      <t>NO</t>
    </r>
    <r>
      <rPr>
        <sz val="12"/>
        <rFont val="Arial"/>
        <family val="2"/>
      </rPr>
      <t>/(</t>
    </r>
    <r>
      <rPr>
        <i/>
        <sz val="12"/>
        <rFont val="Arial"/>
        <family val="2"/>
      </rPr>
      <t>K</t>
    </r>
    <r>
      <rPr>
        <vertAlign val="subscript"/>
        <sz val="12"/>
        <rFont val="Arial"/>
        <family val="2"/>
      </rPr>
      <t>NO,PAO</t>
    </r>
    <r>
      <rPr>
        <sz val="12"/>
        <rFont val="Arial"/>
        <family val="2"/>
      </rPr>
      <t>+</t>
    </r>
    <r>
      <rPr>
        <i/>
        <sz val="12"/>
        <rFont val="Arial"/>
        <family val="2"/>
      </rPr>
      <t>S</t>
    </r>
    <r>
      <rPr>
        <vertAlign val="subscript"/>
        <sz val="12"/>
        <rFont val="Arial"/>
        <family val="2"/>
      </rPr>
      <t>NO</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K</t>
    </r>
    <r>
      <rPr>
        <vertAlign val="subscript"/>
        <sz val="12"/>
        <rFont val="Arial"/>
        <family val="2"/>
      </rPr>
      <t>PO4,PP</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K</t>
    </r>
    <r>
      <rPr>
        <vertAlign val="subscript"/>
        <sz val="12"/>
        <rFont val="Arial"/>
        <family val="2"/>
      </rPr>
      <t>HCO,PAO</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X</t>
    </r>
    <r>
      <rPr>
        <vertAlign val="subscript"/>
        <sz val="12"/>
        <rFont val="Arial"/>
        <family val="2"/>
      </rPr>
      <t>PHA</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K</t>
    </r>
    <r>
      <rPr>
        <vertAlign val="subscript"/>
        <sz val="12"/>
        <rFont val="Arial"/>
        <family val="2"/>
      </rPr>
      <t>PHA</t>
    </r>
    <r>
      <rPr>
        <sz val="12"/>
        <rFont val="Arial"/>
        <family val="2"/>
      </rPr>
      <t>+</t>
    </r>
    <r>
      <rPr>
        <i/>
        <sz val="12"/>
        <rFont val="Arial"/>
        <family val="2"/>
      </rPr>
      <t>X</t>
    </r>
    <r>
      <rPr>
        <vertAlign val="subscript"/>
        <sz val="12"/>
        <rFont val="Arial"/>
        <family val="2"/>
      </rPr>
      <t>PHA</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K</t>
    </r>
    <r>
      <rPr>
        <vertAlign val="subscript"/>
        <sz val="12"/>
        <rFont val="Arial"/>
        <family val="2"/>
      </rPr>
      <t>max,PAO</t>
    </r>
    <r>
      <rPr>
        <sz val="12"/>
        <rFont val="Arial"/>
        <family val="2"/>
      </rPr>
      <t>-(</t>
    </r>
    <r>
      <rPr>
        <i/>
        <sz val="12"/>
        <rFont val="Arial"/>
        <family val="2"/>
      </rPr>
      <t>X</t>
    </r>
    <r>
      <rPr>
        <vertAlign val="subscript"/>
        <sz val="12"/>
        <rFont val="Arial"/>
        <family val="2"/>
      </rPr>
      <t>PP</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K</t>
    </r>
    <r>
      <rPr>
        <vertAlign val="subscript"/>
        <sz val="12"/>
        <rFont val="Arial"/>
        <family val="2"/>
      </rPr>
      <t>iPP,PAO</t>
    </r>
    <r>
      <rPr>
        <sz val="12"/>
        <rFont val="Arial"/>
        <family val="2"/>
      </rPr>
      <t>+</t>
    </r>
    <r>
      <rPr>
        <i/>
        <sz val="12"/>
        <rFont val="Arial"/>
        <family val="2"/>
      </rPr>
      <t>K</t>
    </r>
    <r>
      <rPr>
        <vertAlign val="subscript"/>
        <sz val="12"/>
        <rFont val="Arial"/>
        <family val="2"/>
      </rPr>
      <t>max,PAO</t>
    </r>
    <r>
      <rPr>
        <sz val="12"/>
        <rFont val="Arial"/>
        <family val="2"/>
      </rPr>
      <t>-(</t>
    </r>
    <r>
      <rPr>
        <i/>
        <sz val="12"/>
        <rFont val="Arial"/>
        <family val="2"/>
      </rPr>
      <t>X</t>
    </r>
    <r>
      <rPr>
        <vertAlign val="subscript"/>
        <sz val="12"/>
        <rFont val="Arial"/>
        <family val="2"/>
      </rPr>
      <t>PP</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X</t>
    </r>
    <r>
      <rPr>
        <vertAlign val="subscript"/>
        <sz val="12"/>
        <rFont val="Arial"/>
        <family val="2"/>
      </rPr>
      <t>PAO</t>
    </r>
  </si>
  <si>
    <r>
      <t>Aerobic growth of X</t>
    </r>
    <r>
      <rPr>
        <b/>
        <vertAlign val="subscript"/>
        <sz val="11"/>
        <rFont val="Arial"/>
        <family val="2"/>
      </rPr>
      <t>PAO</t>
    </r>
  </si>
  <si>
    <r>
      <t>-(1-</t>
    </r>
    <r>
      <rPr>
        <i/>
        <sz val="12"/>
        <rFont val="Arial"/>
        <family val="2"/>
      </rPr>
      <t>Y</t>
    </r>
    <r>
      <rPr>
        <vertAlign val="subscript"/>
        <sz val="12"/>
        <rFont val="Arial"/>
        <family val="2"/>
      </rPr>
      <t>PAO,O2</t>
    </r>
    <r>
      <rPr>
        <sz val="12"/>
        <rFont val="Arial"/>
        <family val="2"/>
      </rPr>
      <t>)/</t>
    </r>
    <r>
      <rPr>
        <i/>
        <sz val="12"/>
        <rFont val="Arial"/>
        <family val="2"/>
      </rPr>
      <t>Y</t>
    </r>
    <r>
      <rPr>
        <vertAlign val="subscript"/>
        <sz val="12"/>
        <rFont val="Arial"/>
        <family val="2"/>
      </rPr>
      <t>PAO,O2</t>
    </r>
  </si>
  <si>
    <r>
      <t>v</t>
    </r>
    <r>
      <rPr>
        <vertAlign val="subscript"/>
        <sz val="12"/>
        <rFont val="Arial"/>
        <family val="2"/>
      </rPr>
      <t>P04_NH4</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P04_PO4</t>
    </r>
    <r>
      <rPr>
        <sz val="12"/>
        <rFont val="Arial"/>
        <family val="2"/>
      </rPr>
      <t>*</t>
    </r>
    <r>
      <rPr>
        <i/>
        <sz val="12"/>
        <rFont val="Arial"/>
        <family val="2"/>
      </rPr>
      <t>i</t>
    </r>
    <r>
      <rPr>
        <vertAlign val="subscript"/>
        <sz val="12"/>
        <rFont val="Arial"/>
        <family val="2"/>
      </rPr>
      <t>Charge_PO4</t>
    </r>
  </si>
  <si>
    <r>
      <t>-1/</t>
    </r>
    <r>
      <rPr>
        <i/>
        <sz val="12"/>
        <rFont val="Arial"/>
        <family val="2"/>
      </rPr>
      <t>Y</t>
    </r>
    <r>
      <rPr>
        <vertAlign val="subscript"/>
        <sz val="12"/>
        <rFont val="Arial"/>
        <family val="2"/>
      </rPr>
      <t>PAO,O2</t>
    </r>
  </si>
  <si>
    <r>
      <t>-(1/</t>
    </r>
    <r>
      <rPr>
        <i/>
        <sz val="12"/>
        <rFont val="Arial"/>
        <family val="2"/>
      </rPr>
      <t>Y</t>
    </r>
    <r>
      <rPr>
        <vertAlign val="subscript"/>
        <sz val="12"/>
        <rFont val="Arial"/>
        <family val="2"/>
      </rPr>
      <t>PAO,O2</t>
    </r>
    <r>
      <rPr>
        <sz val="12"/>
        <rFont val="Arial"/>
        <family val="2"/>
      </rPr>
      <t>)*</t>
    </r>
    <r>
      <rPr>
        <i/>
        <sz val="12"/>
        <rFont val="Arial"/>
        <family val="2"/>
      </rPr>
      <t>i</t>
    </r>
    <r>
      <rPr>
        <vertAlign val="subscript"/>
        <sz val="12"/>
        <rFont val="Arial"/>
        <family val="2"/>
      </rPr>
      <t>TSS,XSTO</t>
    </r>
    <r>
      <rPr>
        <sz val="12"/>
        <rFont val="Arial"/>
        <family val="2"/>
      </rPr>
      <t>+</t>
    </r>
    <r>
      <rPr>
        <i/>
        <sz val="12"/>
        <rFont val="Arial"/>
        <family val="2"/>
      </rPr>
      <t>i</t>
    </r>
    <r>
      <rPr>
        <vertAlign val="subscript"/>
        <sz val="12"/>
        <rFont val="Arial"/>
        <family val="2"/>
      </rPr>
      <t>TSS,BM</t>
    </r>
  </si>
  <si>
    <r>
      <t>μ</t>
    </r>
    <r>
      <rPr>
        <vertAlign val="subscript"/>
        <sz val="12"/>
        <rFont val="Arial"/>
        <family val="2"/>
      </rPr>
      <t>PAO</t>
    </r>
    <r>
      <rPr>
        <sz val="11"/>
        <rFont val="Arial"/>
        <family val="2"/>
      </rPr>
      <t>*</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K</t>
    </r>
    <r>
      <rPr>
        <vertAlign val="subscript"/>
        <sz val="12"/>
        <rFont val="Arial"/>
        <family val="2"/>
      </rPr>
      <t>O,PAO</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S</t>
    </r>
    <r>
      <rPr>
        <vertAlign val="subscript"/>
        <sz val="12"/>
        <rFont val="Arial"/>
        <family val="2"/>
      </rPr>
      <t>NH</t>
    </r>
    <r>
      <rPr>
        <sz val="12"/>
        <rFont val="Arial"/>
        <family val="2"/>
      </rPr>
      <t>/(</t>
    </r>
    <r>
      <rPr>
        <i/>
        <sz val="12"/>
        <rFont val="Arial"/>
        <family val="2"/>
      </rPr>
      <t>K</t>
    </r>
    <r>
      <rPr>
        <vertAlign val="subscript"/>
        <sz val="12"/>
        <rFont val="Arial"/>
        <family val="2"/>
      </rPr>
      <t>NH,PAO</t>
    </r>
    <r>
      <rPr>
        <sz val="12"/>
        <rFont val="Arial"/>
        <family val="2"/>
      </rPr>
      <t>+</t>
    </r>
    <r>
      <rPr>
        <i/>
        <sz val="12"/>
        <rFont val="Arial"/>
        <family val="2"/>
      </rPr>
      <t>S</t>
    </r>
    <r>
      <rPr>
        <vertAlign val="subscript"/>
        <sz val="12"/>
        <rFont val="Arial"/>
        <family val="2"/>
      </rPr>
      <t>NH</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K</t>
    </r>
    <r>
      <rPr>
        <vertAlign val="subscript"/>
        <sz val="12"/>
        <rFont val="Arial"/>
        <family val="2"/>
      </rPr>
      <t>PO4,PAO</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K</t>
    </r>
    <r>
      <rPr>
        <vertAlign val="subscript"/>
        <sz val="12"/>
        <rFont val="Arial"/>
        <family val="2"/>
      </rPr>
      <t>HCO,PAO</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X</t>
    </r>
    <r>
      <rPr>
        <vertAlign val="subscript"/>
        <sz val="12"/>
        <rFont val="Arial"/>
        <family val="2"/>
      </rPr>
      <t>PHA</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K</t>
    </r>
    <r>
      <rPr>
        <vertAlign val="subscript"/>
        <sz val="12"/>
        <rFont val="Arial"/>
        <family val="2"/>
      </rPr>
      <t>PHA</t>
    </r>
    <r>
      <rPr>
        <sz val="12"/>
        <rFont val="Arial"/>
        <family val="2"/>
      </rPr>
      <t>+</t>
    </r>
    <r>
      <rPr>
        <i/>
        <sz val="12"/>
        <rFont val="Arial"/>
        <family val="2"/>
      </rPr>
      <t>X</t>
    </r>
    <r>
      <rPr>
        <vertAlign val="subscript"/>
        <sz val="12"/>
        <rFont val="Arial"/>
        <family val="2"/>
      </rPr>
      <t>PHA</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X</t>
    </r>
    <r>
      <rPr>
        <vertAlign val="subscript"/>
        <sz val="12"/>
        <rFont val="Arial"/>
        <family val="2"/>
      </rPr>
      <t>PAO</t>
    </r>
  </si>
  <si>
    <r>
      <t>Anoxic growth of X</t>
    </r>
    <r>
      <rPr>
        <b/>
        <vertAlign val="subscript"/>
        <sz val="11"/>
        <rFont val="Arial"/>
        <family val="2"/>
      </rPr>
      <t>PAO</t>
    </r>
  </si>
  <si>
    <r>
      <t>-(1-</t>
    </r>
    <r>
      <rPr>
        <i/>
        <sz val="12"/>
        <rFont val="Arial"/>
        <family val="2"/>
      </rPr>
      <t>Y</t>
    </r>
    <r>
      <rPr>
        <vertAlign val="subscript"/>
        <sz val="12"/>
        <rFont val="Arial"/>
        <family val="2"/>
      </rPr>
      <t>PAO,NO</t>
    </r>
    <r>
      <rPr>
        <sz val="12"/>
        <rFont val="Arial"/>
        <family val="2"/>
      </rPr>
      <t>)/</t>
    </r>
    <r>
      <rPr>
        <i/>
        <sz val="12"/>
        <rFont val="Arial"/>
        <family val="2"/>
      </rPr>
      <t>Y</t>
    </r>
    <r>
      <rPr>
        <vertAlign val="subscript"/>
        <sz val="12"/>
        <rFont val="Arial"/>
        <family val="2"/>
      </rPr>
      <t>PAO,NO</t>
    </r>
    <r>
      <rPr>
        <sz val="12"/>
        <rFont val="Arial"/>
        <family val="2"/>
      </rPr>
      <t>*(1/</t>
    </r>
    <r>
      <rPr>
        <i/>
        <sz val="12"/>
        <rFont val="Arial"/>
        <family val="2"/>
      </rPr>
      <t>i</t>
    </r>
    <r>
      <rPr>
        <vertAlign val="subscript"/>
        <sz val="12"/>
        <rFont val="Arial"/>
        <family val="2"/>
      </rPr>
      <t>NOx,N2</t>
    </r>
    <r>
      <rPr>
        <sz val="12"/>
        <rFont val="Arial"/>
        <family val="2"/>
      </rPr>
      <t>)</t>
    </r>
  </si>
  <si>
    <r>
      <t>(1-</t>
    </r>
    <r>
      <rPr>
        <i/>
        <sz val="12"/>
        <rFont val="Arial"/>
        <family val="2"/>
      </rPr>
      <t>Y</t>
    </r>
    <r>
      <rPr>
        <vertAlign val="subscript"/>
        <sz val="12"/>
        <rFont val="Arial"/>
        <family val="2"/>
      </rPr>
      <t>PAO,NO</t>
    </r>
    <r>
      <rPr>
        <sz val="12"/>
        <rFont val="Arial"/>
        <family val="2"/>
      </rPr>
      <t>)/</t>
    </r>
    <r>
      <rPr>
        <i/>
        <sz val="12"/>
        <rFont val="Arial"/>
        <family val="2"/>
      </rPr>
      <t>Y</t>
    </r>
    <r>
      <rPr>
        <vertAlign val="subscript"/>
        <sz val="12"/>
        <rFont val="Arial"/>
        <family val="2"/>
      </rPr>
      <t>PAO,NO</t>
    </r>
    <r>
      <rPr>
        <sz val="12"/>
        <rFont val="Arial"/>
        <family val="2"/>
      </rPr>
      <t>*(1/</t>
    </r>
    <r>
      <rPr>
        <i/>
        <sz val="12"/>
        <rFont val="Arial"/>
        <family val="2"/>
      </rPr>
      <t>i</t>
    </r>
    <r>
      <rPr>
        <vertAlign val="subscript"/>
        <sz val="12"/>
        <rFont val="Arial"/>
        <family val="2"/>
      </rPr>
      <t>NOx,N2</t>
    </r>
    <r>
      <rPr>
        <sz val="12"/>
        <rFont val="Arial"/>
        <family val="2"/>
      </rPr>
      <t>)</t>
    </r>
  </si>
  <si>
    <r>
      <t>v</t>
    </r>
    <r>
      <rPr>
        <vertAlign val="subscript"/>
        <sz val="12"/>
        <rFont val="Arial"/>
        <family val="2"/>
      </rPr>
      <t>P05_NH4</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P05_NO</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v</t>
    </r>
    <r>
      <rPr>
        <vertAlign val="subscript"/>
        <sz val="12"/>
        <rFont val="Arial"/>
        <family val="2"/>
      </rPr>
      <t>P05_PO4</t>
    </r>
    <r>
      <rPr>
        <sz val="12"/>
        <rFont val="Arial"/>
        <family val="2"/>
      </rPr>
      <t>*</t>
    </r>
    <r>
      <rPr>
        <i/>
        <sz val="12"/>
        <rFont val="Arial"/>
        <family val="2"/>
      </rPr>
      <t>i</t>
    </r>
    <r>
      <rPr>
        <vertAlign val="subscript"/>
        <sz val="12"/>
        <rFont val="Arial"/>
        <family val="2"/>
      </rPr>
      <t>Charge_PO4</t>
    </r>
  </si>
  <si>
    <r>
      <t>-1/</t>
    </r>
    <r>
      <rPr>
        <i/>
        <sz val="12"/>
        <rFont val="Arial"/>
        <family val="2"/>
      </rPr>
      <t>Y</t>
    </r>
    <r>
      <rPr>
        <vertAlign val="subscript"/>
        <sz val="12"/>
        <rFont val="Arial"/>
        <family val="2"/>
      </rPr>
      <t>PAO,NO</t>
    </r>
  </si>
  <si>
    <r>
      <t>-(1/</t>
    </r>
    <r>
      <rPr>
        <i/>
        <sz val="12"/>
        <rFont val="Arial"/>
        <family val="2"/>
      </rPr>
      <t>Y</t>
    </r>
    <r>
      <rPr>
        <vertAlign val="subscript"/>
        <sz val="12"/>
        <rFont val="Arial"/>
        <family val="2"/>
      </rPr>
      <t>PAO,NO</t>
    </r>
    <r>
      <rPr>
        <sz val="12"/>
        <rFont val="Arial"/>
        <family val="2"/>
      </rPr>
      <t>)*</t>
    </r>
    <r>
      <rPr>
        <i/>
        <sz val="12"/>
        <rFont val="Arial"/>
        <family val="2"/>
      </rPr>
      <t>i</t>
    </r>
    <r>
      <rPr>
        <vertAlign val="subscript"/>
        <sz val="12"/>
        <rFont val="Arial"/>
        <family val="2"/>
      </rPr>
      <t>TSS,XSTO</t>
    </r>
    <r>
      <rPr>
        <sz val="12"/>
        <rFont val="Arial"/>
        <family val="2"/>
      </rPr>
      <t>+</t>
    </r>
    <r>
      <rPr>
        <i/>
        <sz val="12"/>
        <rFont val="Arial"/>
        <family val="2"/>
      </rPr>
      <t>i</t>
    </r>
    <r>
      <rPr>
        <vertAlign val="subscript"/>
        <sz val="12"/>
        <rFont val="Arial"/>
        <family val="2"/>
      </rPr>
      <t>TSS,BM</t>
    </r>
  </si>
  <si>
    <r>
      <t>μ</t>
    </r>
    <r>
      <rPr>
        <vertAlign val="subscript"/>
        <sz val="12"/>
        <rFont val="Arial"/>
        <family val="2"/>
      </rPr>
      <t>PAO</t>
    </r>
    <r>
      <rPr>
        <sz val="12"/>
        <rFont val="Arial"/>
        <family val="2"/>
      </rPr>
      <t>*</t>
    </r>
    <r>
      <rPr>
        <i/>
        <sz val="12"/>
        <rFont val="Arial"/>
        <family val="2"/>
      </rPr>
      <t>η</t>
    </r>
    <r>
      <rPr>
        <vertAlign val="subscript"/>
        <sz val="12"/>
        <rFont val="Arial"/>
        <family val="2"/>
      </rPr>
      <t>NO,PAO</t>
    </r>
    <r>
      <rPr>
        <sz val="12"/>
        <rFont val="Arial"/>
        <family val="2"/>
      </rPr>
      <t>*[</t>
    </r>
    <r>
      <rPr>
        <i/>
        <sz val="12"/>
        <rFont val="Arial"/>
        <family val="2"/>
      </rPr>
      <t>K</t>
    </r>
    <r>
      <rPr>
        <vertAlign val="subscript"/>
        <sz val="12"/>
        <rFont val="Arial"/>
        <family val="2"/>
      </rPr>
      <t>O,PAO</t>
    </r>
    <r>
      <rPr>
        <sz val="12"/>
        <rFont val="Arial"/>
        <family val="2"/>
      </rPr>
      <t>/(</t>
    </r>
    <r>
      <rPr>
        <i/>
        <sz val="12"/>
        <rFont val="Arial"/>
        <family val="2"/>
      </rPr>
      <t>K</t>
    </r>
    <r>
      <rPr>
        <vertAlign val="subscript"/>
        <sz val="12"/>
        <rFont val="Arial"/>
        <family val="2"/>
      </rPr>
      <t>O,PAO</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S</t>
    </r>
    <r>
      <rPr>
        <vertAlign val="subscript"/>
        <sz val="12"/>
        <rFont val="Arial"/>
        <family val="2"/>
      </rPr>
      <t>NO</t>
    </r>
    <r>
      <rPr>
        <sz val="12"/>
        <rFont val="Arial"/>
        <family val="2"/>
      </rPr>
      <t>/(</t>
    </r>
    <r>
      <rPr>
        <i/>
        <sz val="12"/>
        <rFont val="Arial"/>
        <family val="2"/>
      </rPr>
      <t>K</t>
    </r>
    <r>
      <rPr>
        <vertAlign val="subscript"/>
        <sz val="12"/>
        <rFont val="Arial"/>
        <family val="2"/>
      </rPr>
      <t>NO,PAO</t>
    </r>
    <r>
      <rPr>
        <sz val="12"/>
        <rFont val="Arial"/>
        <family val="2"/>
      </rPr>
      <t>+</t>
    </r>
    <r>
      <rPr>
        <i/>
        <sz val="12"/>
        <rFont val="Arial"/>
        <family val="2"/>
      </rPr>
      <t>S</t>
    </r>
    <r>
      <rPr>
        <vertAlign val="subscript"/>
        <sz val="12"/>
        <rFont val="Arial"/>
        <family val="2"/>
      </rPr>
      <t>NO</t>
    </r>
    <r>
      <rPr>
        <sz val="12"/>
        <rFont val="Arial"/>
        <family val="2"/>
      </rPr>
      <t>)]*[</t>
    </r>
    <r>
      <rPr>
        <i/>
        <sz val="12"/>
        <rFont val="Arial"/>
        <family val="2"/>
      </rPr>
      <t>S</t>
    </r>
    <r>
      <rPr>
        <vertAlign val="subscript"/>
        <sz val="12"/>
        <rFont val="Arial"/>
        <family val="2"/>
      </rPr>
      <t>NH</t>
    </r>
    <r>
      <rPr>
        <sz val="12"/>
        <rFont val="Arial"/>
        <family val="2"/>
      </rPr>
      <t>/(</t>
    </r>
    <r>
      <rPr>
        <i/>
        <sz val="12"/>
        <rFont val="Arial"/>
        <family val="2"/>
      </rPr>
      <t>K</t>
    </r>
    <r>
      <rPr>
        <vertAlign val="subscript"/>
        <sz val="12"/>
        <rFont val="Arial"/>
        <family val="2"/>
      </rPr>
      <t>NH,PAO</t>
    </r>
    <r>
      <rPr>
        <sz val="12"/>
        <rFont val="Arial"/>
        <family val="2"/>
      </rPr>
      <t>+</t>
    </r>
    <r>
      <rPr>
        <i/>
        <sz val="12"/>
        <rFont val="Arial"/>
        <family val="2"/>
      </rPr>
      <t>S</t>
    </r>
    <r>
      <rPr>
        <vertAlign val="subscript"/>
        <sz val="12"/>
        <rFont val="Arial"/>
        <family val="2"/>
      </rPr>
      <t>NH</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K</t>
    </r>
    <r>
      <rPr>
        <vertAlign val="subscript"/>
        <sz val="12"/>
        <rFont val="Arial"/>
        <family val="2"/>
      </rPr>
      <t>PO4,PAO</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K</t>
    </r>
    <r>
      <rPr>
        <vertAlign val="subscript"/>
        <sz val="12"/>
        <rFont val="Arial"/>
        <family val="2"/>
      </rPr>
      <t>HCO,PAO</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X</t>
    </r>
    <r>
      <rPr>
        <vertAlign val="subscript"/>
        <sz val="12"/>
        <rFont val="Arial"/>
        <family val="2"/>
      </rPr>
      <t>PHA</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K</t>
    </r>
    <r>
      <rPr>
        <vertAlign val="subscript"/>
        <sz val="12"/>
        <rFont val="Arial"/>
        <family val="2"/>
      </rPr>
      <t>PHA</t>
    </r>
    <r>
      <rPr>
        <sz val="12"/>
        <rFont val="Arial"/>
        <family val="2"/>
      </rPr>
      <t>+</t>
    </r>
    <r>
      <rPr>
        <i/>
        <sz val="12"/>
        <rFont val="Arial"/>
        <family val="2"/>
      </rPr>
      <t>X</t>
    </r>
    <r>
      <rPr>
        <vertAlign val="subscript"/>
        <sz val="12"/>
        <rFont val="Arial"/>
        <family val="2"/>
      </rPr>
      <t>PHA</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X</t>
    </r>
    <r>
      <rPr>
        <vertAlign val="subscript"/>
        <sz val="12"/>
        <rFont val="Arial"/>
        <family val="2"/>
      </rPr>
      <t>PAO</t>
    </r>
  </si>
  <si>
    <r>
      <t>Aerobic endogenous respiration of X</t>
    </r>
    <r>
      <rPr>
        <b/>
        <vertAlign val="subscript"/>
        <sz val="11"/>
        <rFont val="Arial"/>
        <family val="2"/>
      </rPr>
      <t>PAO</t>
    </r>
  </si>
  <si>
    <r>
      <t>-</t>
    </r>
    <r>
      <rPr>
        <i/>
        <sz val="12"/>
        <rFont val="Arial"/>
        <family val="2"/>
      </rPr>
      <t>f</t>
    </r>
    <r>
      <rPr>
        <vertAlign val="subscript"/>
        <sz val="12"/>
        <rFont val="Arial"/>
        <family val="2"/>
      </rPr>
      <t>XI</t>
    </r>
    <r>
      <rPr>
        <sz val="12"/>
        <rFont val="Arial"/>
        <family val="2"/>
      </rPr>
      <t>*</t>
    </r>
    <r>
      <rPr>
        <i/>
        <sz val="12"/>
        <rFont val="Arial"/>
        <family val="2"/>
      </rPr>
      <t>i</t>
    </r>
    <r>
      <rPr>
        <vertAlign val="subscript"/>
        <sz val="12"/>
        <rFont val="Arial"/>
        <family val="2"/>
      </rPr>
      <t>P,XI</t>
    </r>
    <r>
      <rPr>
        <sz val="12"/>
        <rFont val="Arial"/>
        <family val="2"/>
      </rPr>
      <t>+</t>
    </r>
    <r>
      <rPr>
        <i/>
        <sz val="12"/>
        <rFont val="Arial"/>
        <family val="2"/>
      </rPr>
      <t>i</t>
    </r>
    <r>
      <rPr>
        <vertAlign val="subscript"/>
        <sz val="12"/>
        <rFont val="Arial"/>
        <family val="2"/>
      </rPr>
      <t>P,BM</t>
    </r>
  </si>
  <si>
    <r>
      <t>v</t>
    </r>
    <r>
      <rPr>
        <vertAlign val="subscript"/>
        <sz val="12"/>
        <rFont val="Arial"/>
        <family val="2"/>
      </rPr>
      <t>P06_NH4</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P06_PO4</t>
    </r>
    <r>
      <rPr>
        <sz val="12"/>
        <rFont val="Arial"/>
        <family val="2"/>
      </rPr>
      <t>*</t>
    </r>
    <r>
      <rPr>
        <i/>
        <sz val="12"/>
        <rFont val="Arial"/>
        <family val="2"/>
      </rPr>
      <t>i</t>
    </r>
    <r>
      <rPr>
        <vertAlign val="subscript"/>
        <sz val="12"/>
        <rFont val="Arial"/>
        <family val="2"/>
      </rPr>
      <t>Charge_PO4</t>
    </r>
  </si>
  <si>
    <r>
      <t>b</t>
    </r>
    <r>
      <rPr>
        <vertAlign val="subscript"/>
        <sz val="12"/>
        <rFont val="Arial"/>
        <family val="2"/>
      </rPr>
      <t>PAO</t>
    </r>
    <r>
      <rPr>
        <sz val="11"/>
        <rFont val="Arial"/>
        <family val="2"/>
      </rPr>
      <t>*</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K</t>
    </r>
    <r>
      <rPr>
        <vertAlign val="subscript"/>
        <sz val="12"/>
        <rFont val="Arial"/>
        <family val="2"/>
      </rPr>
      <t>O,PAO</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X</t>
    </r>
    <r>
      <rPr>
        <vertAlign val="subscript"/>
        <sz val="12"/>
        <rFont val="Arial"/>
        <family val="2"/>
      </rPr>
      <t>PAO</t>
    </r>
  </si>
  <si>
    <r>
      <t>Anoxic endogenous respiration of X</t>
    </r>
    <r>
      <rPr>
        <b/>
        <vertAlign val="subscript"/>
        <sz val="11"/>
        <rFont val="Arial"/>
        <family val="2"/>
      </rPr>
      <t>PAO</t>
    </r>
  </si>
  <si>
    <r>
      <t>-(1-</t>
    </r>
    <r>
      <rPr>
        <i/>
        <sz val="12"/>
        <rFont val="Arial"/>
        <family val="2"/>
      </rPr>
      <t>f</t>
    </r>
    <r>
      <rPr>
        <vertAlign val="subscript"/>
        <sz val="12"/>
        <rFont val="Arial"/>
        <family val="2"/>
      </rPr>
      <t>XI</t>
    </r>
    <r>
      <rPr>
        <sz val="12"/>
        <rFont val="Arial"/>
        <family val="2"/>
      </rPr>
      <t>)/</t>
    </r>
    <r>
      <rPr>
        <i/>
        <sz val="12"/>
        <rFont val="Arial"/>
        <family val="2"/>
      </rPr>
      <t>i</t>
    </r>
    <r>
      <rPr>
        <vertAlign val="subscript"/>
        <sz val="12"/>
        <rFont val="Arial"/>
        <family val="2"/>
      </rPr>
      <t>NOx,N2</t>
    </r>
  </si>
  <si>
    <r>
      <t>(1-</t>
    </r>
    <r>
      <rPr>
        <i/>
        <sz val="12"/>
        <rFont val="Arial"/>
        <family val="2"/>
      </rPr>
      <t>f</t>
    </r>
    <r>
      <rPr>
        <vertAlign val="subscript"/>
        <sz val="12"/>
        <rFont val="Arial"/>
        <family val="2"/>
      </rPr>
      <t>XI</t>
    </r>
    <r>
      <rPr>
        <sz val="12"/>
        <rFont val="Arial"/>
        <family val="2"/>
      </rPr>
      <t>)/</t>
    </r>
    <r>
      <rPr>
        <i/>
        <sz val="12"/>
        <rFont val="Arial"/>
        <family val="2"/>
      </rPr>
      <t>i</t>
    </r>
    <r>
      <rPr>
        <vertAlign val="subscript"/>
        <sz val="12"/>
        <rFont val="Arial"/>
        <family val="2"/>
      </rPr>
      <t>NOx,N2</t>
    </r>
  </si>
  <si>
    <r>
      <t>v</t>
    </r>
    <r>
      <rPr>
        <vertAlign val="subscript"/>
        <sz val="12"/>
        <rFont val="Arial"/>
        <family val="2"/>
      </rPr>
      <t>P07_NH4</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P07_NO</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v</t>
    </r>
    <r>
      <rPr>
        <vertAlign val="subscript"/>
        <sz val="12"/>
        <rFont val="Arial"/>
        <family val="2"/>
      </rPr>
      <t>P07_PO4</t>
    </r>
    <r>
      <rPr>
        <sz val="12"/>
        <rFont val="Arial"/>
        <family val="2"/>
      </rPr>
      <t>*</t>
    </r>
    <r>
      <rPr>
        <i/>
        <sz val="12"/>
        <rFont val="Arial"/>
        <family val="2"/>
      </rPr>
      <t>i</t>
    </r>
    <r>
      <rPr>
        <vertAlign val="subscript"/>
        <sz val="12"/>
        <rFont val="Arial"/>
        <family val="2"/>
      </rPr>
      <t>Charge_PO4</t>
    </r>
  </si>
  <si>
    <r>
      <t>b</t>
    </r>
    <r>
      <rPr>
        <vertAlign val="subscript"/>
        <sz val="12"/>
        <rFont val="Arial"/>
        <family val="2"/>
      </rPr>
      <t>PAO</t>
    </r>
    <r>
      <rPr>
        <sz val="12"/>
        <rFont val="Arial"/>
        <family val="2"/>
      </rPr>
      <t>*</t>
    </r>
    <r>
      <rPr>
        <i/>
        <sz val="12"/>
        <rFont val="Arial"/>
        <family val="2"/>
      </rPr>
      <t>η</t>
    </r>
    <r>
      <rPr>
        <vertAlign val="subscript"/>
        <sz val="12"/>
        <rFont val="Arial"/>
        <family val="2"/>
      </rPr>
      <t>NO,end,PAO</t>
    </r>
    <r>
      <rPr>
        <sz val="12"/>
        <rFont val="Arial"/>
        <family val="2"/>
      </rPr>
      <t>*[</t>
    </r>
    <r>
      <rPr>
        <i/>
        <sz val="12"/>
        <rFont val="Arial"/>
        <family val="2"/>
      </rPr>
      <t>K</t>
    </r>
    <r>
      <rPr>
        <vertAlign val="subscript"/>
        <sz val="12"/>
        <rFont val="Arial"/>
        <family val="2"/>
      </rPr>
      <t>O,PAO</t>
    </r>
    <r>
      <rPr>
        <sz val="12"/>
        <rFont val="Arial"/>
        <family val="2"/>
      </rPr>
      <t>/(</t>
    </r>
    <r>
      <rPr>
        <i/>
        <sz val="12"/>
        <rFont val="Arial"/>
        <family val="2"/>
      </rPr>
      <t>K</t>
    </r>
    <r>
      <rPr>
        <vertAlign val="subscript"/>
        <sz val="12"/>
        <rFont val="Arial"/>
        <family val="2"/>
      </rPr>
      <t>O,PAO</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S</t>
    </r>
    <r>
      <rPr>
        <vertAlign val="subscript"/>
        <sz val="12"/>
        <rFont val="Arial"/>
        <family val="2"/>
      </rPr>
      <t>NO</t>
    </r>
    <r>
      <rPr>
        <sz val="12"/>
        <rFont val="Arial"/>
        <family val="2"/>
      </rPr>
      <t>/(</t>
    </r>
    <r>
      <rPr>
        <i/>
        <sz val="12"/>
        <rFont val="Arial"/>
        <family val="2"/>
      </rPr>
      <t>K</t>
    </r>
    <r>
      <rPr>
        <vertAlign val="subscript"/>
        <sz val="12"/>
        <rFont val="Arial"/>
        <family val="2"/>
      </rPr>
      <t>NO,PAO</t>
    </r>
    <r>
      <rPr>
        <sz val="12"/>
        <rFont val="Arial"/>
        <family val="2"/>
      </rPr>
      <t>+</t>
    </r>
    <r>
      <rPr>
        <i/>
        <sz val="12"/>
        <rFont val="Arial"/>
        <family val="2"/>
      </rPr>
      <t>S</t>
    </r>
    <r>
      <rPr>
        <vertAlign val="subscript"/>
        <sz val="12"/>
        <rFont val="Arial"/>
        <family val="2"/>
      </rPr>
      <t>NO</t>
    </r>
    <r>
      <rPr>
        <sz val="12"/>
        <rFont val="Arial"/>
        <family val="2"/>
      </rPr>
      <t>)]*</t>
    </r>
    <r>
      <rPr>
        <i/>
        <sz val="12"/>
        <rFont val="Arial"/>
        <family val="2"/>
      </rPr>
      <t>X</t>
    </r>
    <r>
      <rPr>
        <vertAlign val="subscript"/>
        <sz val="12"/>
        <rFont val="Arial"/>
        <family val="2"/>
      </rPr>
      <t>PAO</t>
    </r>
  </si>
  <si>
    <r>
      <t>Aerobic decay of X</t>
    </r>
    <r>
      <rPr>
        <b/>
        <vertAlign val="subscript"/>
        <sz val="11"/>
        <rFont val="Arial"/>
        <family val="2"/>
      </rPr>
      <t>PP</t>
    </r>
  </si>
  <si>
    <r>
      <t>v</t>
    </r>
    <r>
      <rPr>
        <vertAlign val="subscript"/>
        <sz val="12"/>
        <rFont val="Arial"/>
        <family val="2"/>
      </rPr>
      <t>P08_PO4</t>
    </r>
    <r>
      <rPr>
        <sz val="12"/>
        <rFont val="Arial"/>
        <family val="2"/>
      </rPr>
      <t>*</t>
    </r>
    <r>
      <rPr>
        <i/>
        <sz val="12"/>
        <rFont val="Arial"/>
        <family val="2"/>
      </rPr>
      <t>i</t>
    </r>
    <r>
      <rPr>
        <vertAlign val="subscript"/>
        <sz val="12"/>
        <rFont val="Arial"/>
        <family val="2"/>
      </rPr>
      <t>Charge_PO4</t>
    </r>
    <r>
      <rPr>
        <sz val="12"/>
        <rFont val="Arial"/>
        <family val="2"/>
      </rPr>
      <t>+</t>
    </r>
    <r>
      <rPr>
        <i/>
        <sz val="12"/>
        <rFont val="Arial"/>
        <family val="2"/>
      </rPr>
      <t>v</t>
    </r>
    <r>
      <rPr>
        <vertAlign val="subscript"/>
        <sz val="12"/>
        <rFont val="Arial"/>
        <family val="2"/>
      </rPr>
      <t>P08_PP</t>
    </r>
    <r>
      <rPr>
        <sz val="12"/>
        <rFont val="Arial"/>
        <family val="2"/>
      </rPr>
      <t>*</t>
    </r>
    <r>
      <rPr>
        <i/>
        <sz val="12"/>
        <rFont val="Arial"/>
        <family val="2"/>
      </rPr>
      <t>i</t>
    </r>
    <r>
      <rPr>
        <vertAlign val="subscript"/>
        <sz val="12"/>
        <rFont val="Arial"/>
        <family val="2"/>
      </rPr>
      <t>Charge_XPAO,PP</t>
    </r>
  </si>
  <si>
    <r>
      <t>-</t>
    </r>
    <r>
      <rPr>
        <i/>
        <sz val="12"/>
        <rFont val="Arial"/>
        <family val="2"/>
      </rPr>
      <t>i</t>
    </r>
    <r>
      <rPr>
        <vertAlign val="subscript"/>
        <sz val="12"/>
        <rFont val="Arial"/>
        <family val="2"/>
      </rPr>
      <t>TSS,XPP</t>
    </r>
  </si>
  <si>
    <r>
      <t>b</t>
    </r>
    <r>
      <rPr>
        <vertAlign val="subscript"/>
        <sz val="12"/>
        <rFont val="Arial"/>
        <family val="2"/>
      </rPr>
      <t>PP</t>
    </r>
    <r>
      <rPr>
        <sz val="11"/>
        <rFont val="Arial"/>
        <family val="2"/>
      </rPr>
      <t>*</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K</t>
    </r>
    <r>
      <rPr>
        <vertAlign val="subscript"/>
        <sz val="12"/>
        <rFont val="Arial"/>
        <family val="2"/>
      </rPr>
      <t>O,PAO</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K</t>
    </r>
    <r>
      <rPr>
        <vertAlign val="subscript"/>
        <sz val="12"/>
        <rFont val="Arial"/>
        <family val="2"/>
      </rPr>
      <t>HCO,PAO</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X</t>
    </r>
    <r>
      <rPr>
        <vertAlign val="subscript"/>
        <sz val="12"/>
        <rFont val="Arial"/>
        <family val="2"/>
      </rPr>
      <t>PP</t>
    </r>
  </si>
  <si>
    <r>
      <t>Anoxic decay of X</t>
    </r>
    <r>
      <rPr>
        <b/>
        <vertAlign val="subscript"/>
        <sz val="11"/>
        <rFont val="Arial"/>
        <family val="2"/>
      </rPr>
      <t>PP</t>
    </r>
  </si>
  <si>
    <r>
      <t>b</t>
    </r>
    <r>
      <rPr>
        <vertAlign val="subscript"/>
        <sz val="12"/>
        <rFont val="Arial"/>
        <family val="2"/>
      </rPr>
      <t>PP</t>
    </r>
    <r>
      <rPr>
        <sz val="12"/>
        <rFont val="Arial"/>
        <family val="2"/>
      </rPr>
      <t>*</t>
    </r>
    <r>
      <rPr>
        <i/>
        <sz val="12"/>
        <rFont val="Arial"/>
        <family val="2"/>
      </rPr>
      <t>η</t>
    </r>
    <r>
      <rPr>
        <vertAlign val="subscript"/>
        <sz val="12"/>
        <rFont val="Arial"/>
        <family val="2"/>
      </rPr>
      <t>NO,lys,PP</t>
    </r>
    <r>
      <rPr>
        <sz val="12"/>
        <rFont val="Arial"/>
        <family val="2"/>
      </rPr>
      <t>*[</t>
    </r>
    <r>
      <rPr>
        <i/>
        <sz val="12"/>
        <rFont val="Arial"/>
        <family val="2"/>
      </rPr>
      <t>K</t>
    </r>
    <r>
      <rPr>
        <vertAlign val="subscript"/>
        <sz val="12"/>
        <rFont val="Arial"/>
        <family val="2"/>
      </rPr>
      <t>O,PAO</t>
    </r>
    <r>
      <rPr>
        <sz val="12"/>
        <rFont val="Arial"/>
        <family val="2"/>
      </rPr>
      <t>/(</t>
    </r>
    <r>
      <rPr>
        <i/>
        <sz val="12"/>
        <rFont val="Arial"/>
        <family val="2"/>
      </rPr>
      <t>K</t>
    </r>
    <r>
      <rPr>
        <vertAlign val="subscript"/>
        <sz val="12"/>
        <rFont val="Arial"/>
        <family val="2"/>
      </rPr>
      <t>O,PAO</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S</t>
    </r>
    <r>
      <rPr>
        <vertAlign val="subscript"/>
        <sz val="12"/>
        <rFont val="Arial"/>
        <family val="2"/>
      </rPr>
      <t>NO</t>
    </r>
    <r>
      <rPr>
        <sz val="12"/>
        <rFont val="Arial"/>
        <family val="2"/>
      </rPr>
      <t>/(</t>
    </r>
    <r>
      <rPr>
        <i/>
        <sz val="12"/>
        <rFont val="Arial"/>
        <family val="2"/>
      </rPr>
      <t>K</t>
    </r>
    <r>
      <rPr>
        <vertAlign val="subscript"/>
        <sz val="12"/>
        <rFont val="Arial"/>
        <family val="2"/>
      </rPr>
      <t>NO,PAO</t>
    </r>
    <r>
      <rPr>
        <sz val="12"/>
        <rFont val="Arial"/>
        <family val="2"/>
      </rPr>
      <t>+</t>
    </r>
    <r>
      <rPr>
        <i/>
        <sz val="12"/>
        <color indexed="57"/>
        <rFont val="Arial"/>
        <family val="2"/>
      </rPr>
      <t>S</t>
    </r>
    <r>
      <rPr>
        <vertAlign val="subscript"/>
        <sz val="12"/>
        <color indexed="57"/>
        <rFont val="Arial"/>
        <family val="2"/>
      </rPr>
      <t>NO</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K</t>
    </r>
    <r>
      <rPr>
        <vertAlign val="subscript"/>
        <sz val="12"/>
        <rFont val="Arial"/>
        <family val="2"/>
      </rPr>
      <t>HCO,PAO</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X</t>
    </r>
    <r>
      <rPr>
        <vertAlign val="subscript"/>
        <sz val="12"/>
        <rFont val="Arial"/>
        <family val="2"/>
      </rPr>
      <t>PP</t>
    </r>
  </si>
  <si>
    <r>
      <t>Aerobic respiration of X</t>
    </r>
    <r>
      <rPr>
        <b/>
        <vertAlign val="subscript"/>
        <sz val="11"/>
        <rFont val="Arial"/>
        <family val="2"/>
      </rPr>
      <t>PHA</t>
    </r>
  </si>
  <si>
    <r>
      <t>b</t>
    </r>
    <r>
      <rPr>
        <vertAlign val="subscript"/>
        <sz val="12"/>
        <rFont val="Arial"/>
        <family val="2"/>
      </rPr>
      <t>PHA</t>
    </r>
    <r>
      <rPr>
        <sz val="11"/>
        <rFont val="Arial"/>
        <family val="2"/>
      </rPr>
      <t>*</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K</t>
    </r>
    <r>
      <rPr>
        <vertAlign val="subscript"/>
        <sz val="12"/>
        <rFont val="Arial"/>
        <family val="2"/>
      </rPr>
      <t>O,PAO</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X</t>
    </r>
    <r>
      <rPr>
        <vertAlign val="subscript"/>
        <sz val="12"/>
        <rFont val="Arial"/>
        <family val="2"/>
      </rPr>
      <t>PHA</t>
    </r>
  </si>
  <si>
    <r>
      <t>Fraction of X</t>
    </r>
    <r>
      <rPr>
        <vertAlign val="subscript"/>
        <sz val="10"/>
        <rFont val="Arial"/>
        <family val="2"/>
      </rPr>
      <t>U</t>
    </r>
    <r>
      <rPr>
        <sz val="10"/>
        <rFont val="Arial"/>
        <family val="2"/>
      </rPr>
      <t xml:space="preserve"> generated in heterotrophic biomass decay</t>
    </r>
  </si>
  <si>
    <r>
      <t>Anoxic respiration of X</t>
    </r>
    <r>
      <rPr>
        <b/>
        <vertAlign val="subscript"/>
        <sz val="11"/>
        <rFont val="Arial"/>
        <family val="2"/>
      </rPr>
      <t>PHA</t>
    </r>
  </si>
  <si>
    <r>
      <t>-1/</t>
    </r>
    <r>
      <rPr>
        <i/>
        <sz val="12"/>
        <rFont val="Arial"/>
        <family val="2"/>
      </rPr>
      <t>i</t>
    </r>
    <r>
      <rPr>
        <vertAlign val="subscript"/>
        <sz val="12"/>
        <rFont val="Arial"/>
        <family val="2"/>
      </rPr>
      <t>NOx,N2</t>
    </r>
  </si>
  <si>
    <r>
      <t>1/</t>
    </r>
    <r>
      <rPr>
        <i/>
        <sz val="12"/>
        <rFont val="Arial"/>
        <family val="2"/>
      </rPr>
      <t>i</t>
    </r>
    <r>
      <rPr>
        <vertAlign val="subscript"/>
        <sz val="12"/>
        <rFont val="Arial"/>
        <family val="2"/>
      </rPr>
      <t>NOx,N2</t>
    </r>
  </si>
  <si>
    <r>
      <t>v</t>
    </r>
    <r>
      <rPr>
        <vertAlign val="subscript"/>
        <sz val="12"/>
        <rFont val="Arial"/>
        <family val="2"/>
      </rPr>
      <t>P11_NO</t>
    </r>
    <r>
      <rPr>
        <sz val="12"/>
        <rFont val="Arial"/>
        <family val="2"/>
      </rPr>
      <t>*</t>
    </r>
    <r>
      <rPr>
        <i/>
        <sz val="12"/>
        <rFont val="Arial"/>
        <family val="2"/>
      </rPr>
      <t>i</t>
    </r>
    <r>
      <rPr>
        <vertAlign val="subscript"/>
        <sz val="12"/>
        <rFont val="Arial"/>
        <family val="2"/>
      </rPr>
      <t>Charge_NOx</t>
    </r>
  </si>
  <si>
    <r>
      <t>b</t>
    </r>
    <r>
      <rPr>
        <vertAlign val="subscript"/>
        <sz val="12"/>
        <rFont val="Arial"/>
        <family val="2"/>
      </rPr>
      <t>PHA</t>
    </r>
    <r>
      <rPr>
        <sz val="12"/>
        <rFont val="Arial"/>
        <family val="2"/>
      </rPr>
      <t>*</t>
    </r>
    <r>
      <rPr>
        <i/>
        <sz val="12"/>
        <rFont val="Arial"/>
        <family val="2"/>
      </rPr>
      <t>η</t>
    </r>
    <r>
      <rPr>
        <vertAlign val="subscript"/>
        <sz val="12"/>
        <rFont val="Arial"/>
        <family val="2"/>
      </rPr>
      <t>NO,resp,PHA</t>
    </r>
    <r>
      <rPr>
        <sz val="12"/>
        <rFont val="Arial"/>
        <family val="2"/>
      </rPr>
      <t>*[</t>
    </r>
    <r>
      <rPr>
        <i/>
        <sz val="12"/>
        <rFont val="Arial"/>
        <family val="2"/>
      </rPr>
      <t>K</t>
    </r>
    <r>
      <rPr>
        <vertAlign val="subscript"/>
        <sz val="12"/>
        <rFont val="Arial"/>
        <family val="2"/>
      </rPr>
      <t>O,PAO</t>
    </r>
    <r>
      <rPr>
        <sz val="12"/>
        <rFont val="Arial"/>
        <family val="2"/>
      </rPr>
      <t>/(</t>
    </r>
    <r>
      <rPr>
        <i/>
        <sz val="12"/>
        <rFont val="Arial"/>
        <family val="2"/>
      </rPr>
      <t>K</t>
    </r>
    <r>
      <rPr>
        <vertAlign val="subscript"/>
        <sz val="12"/>
        <rFont val="Arial"/>
        <family val="2"/>
      </rPr>
      <t>O,PAO</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S</t>
    </r>
    <r>
      <rPr>
        <vertAlign val="subscript"/>
        <sz val="12"/>
        <rFont val="Arial"/>
        <family val="2"/>
      </rPr>
      <t>NO</t>
    </r>
    <r>
      <rPr>
        <sz val="12"/>
        <rFont val="Arial"/>
        <family val="2"/>
      </rPr>
      <t>/(</t>
    </r>
    <r>
      <rPr>
        <i/>
        <sz val="12"/>
        <rFont val="Arial"/>
        <family val="2"/>
      </rPr>
      <t>K</t>
    </r>
    <r>
      <rPr>
        <vertAlign val="subscript"/>
        <sz val="12"/>
        <rFont val="Arial"/>
        <family val="2"/>
      </rPr>
      <t>NO,PAO</t>
    </r>
    <r>
      <rPr>
        <sz val="12"/>
        <rFont val="Arial"/>
        <family val="2"/>
      </rPr>
      <t>+</t>
    </r>
    <r>
      <rPr>
        <i/>
        <sz val="12"/>
        <color indexed="57"/>
        <rFont val="Arial"/>
        <family val="2"/>
      </rPr>
      <t>S</t>
    </r>
    <r>
      <rPr>
        <vertAlign val="subscript"/>
        <sz val="12"/>
        <color indexed="57"/>
        <rFont val="Arial"/>
        <family val="2"/>
      </rPr>
      <t>NO</t>
    </r>
    <r>
      <rPr>
        <sz val="12"/>
        <rFont val="Arial"/>
        <family val="2"/>
      </rPr>
      <t>)]*</t>
    </r>
    <r>
      <rPr>
        <i/>
        <sz val="12"/>
        <rFont val="Arial"/>
        <family val="2"/>
      </rPr>
      <t>X</t>
    </r>
    <r>
      <rPr>
        <vertAlign val="subscript"/>
        <sz val="12"/>
        <rFont val="Arial"/>
        <family val="2"/>
      </rPr>
      <t>PHA</t>
    </r>
  </si>
  <si>
    <r>
      <t>Yield for X</t>
    </r>
    <r>
      <rPr>
        <vertAlign val="subscript"/>
        <sz val="10"/>
        <rFont val="Arial"/>
        <family val="2"/>
      </rPr>
      <t>PAO</t>
    </r>
    <r>
      <rPr>
        <sz val="10"/>
        <rFont val="Arial"/>
        <family val="2"/>
      </rPr>
      <t xml:space="preserve"> growth per X</t>
    </r>
    <r>
      <rPr>
        <vertAlign val="subscript"/>
        <sz val="10"/>
        <rFont val="Arial"/>
        <family val="2"/>
      </rPr>
      <t>PAO,PHA</t>
    </r>
    <r>
      <rPr>
        <sz val="10"/>
        <rFont val="Arial"/>
        <family val="2"/>
      </rPr>
      <t xml:space="preserve"> (Aerobic)</t>
    </r>
  </si>
  <si>
    <r>
      <t>Yield for X</t>
    </r>
    <r>
      <rPr>
        <vertAlign val="subscript"/>
        <sz val="10"/>
        <rFont val="Arial"/>
        <family val="2"/>
      </rPr>
      <t>PAO</t>
    </r>
    <r>
      <rPr>
        <sz val="10"/>
        <rFont val="Arial"/>
        <family val="2"/>
      </rPr>
      <t xml:space="preserve"> growth per X</t>
    </r>
    <r>
      <rPr>
        <vertAlign val="subscript"/>
        <sz val="10"/>
        <rFont val="Arial"/>
        <family val="2"/>
      </rPr>
      <t>PAO,PHA</t>
    </r>
    <r>
      <rPr>
        <sz val="10"/>
        <rFont val="Arial"/>
        <family val="2"/>
      </rPr>
      <t xml:space="preserve"> (Anoxic)</t>
    </r>
  </si>
  <si>
    <r>
      <t>Fraction of S</t>
    </r>
    <r>
      <rPr>
        <vertAlign val="subscript"/>
        <sz val="10"/>
        <rFont val="Arial"/>
        <family val="2"/>
      </rPr>
      <t>U</t>
    </r>
    <r>
      <rPr>
        <sz val="10"/>
        <rFont val="Arial"/>
        <family val="2"/>
      </rPr>
      <t xml:space="preserve"> generated in X</t>
    </r>
    <r>
      <rPr>
        <vertAlign val="subscript"/>
        <sz val="10"/>
        <rFont val="Arial"/>
        <family val="2"/>
      </rPr>
      <t>PAO</t>
    </r>
    <r>
      <rPr>
        <sz val="10"/>
        <rFont val="Arial"/>
        <family val="2"/>
      </rPr>
      <t xml:space="preserve"> decay</t>
    </r>
  </si>
  <si>
    <r>
      <t>g X</t>
    </r>
    <r>
      <rPr>
        <vertAlign val="subscript"/>
        <sz val="8"/>
        <rFont val="Arial"/>
        <family val="2"/>
      </rPr>
      <t>U</t>
    </r>
    <r>
      <rPr>
        <sz val="8"/>
        <rFont val="Arial"/>
        <family val="2"/>
      </rPr>
      <t>.g X</t>
    </r>
    <r>
      <rPr>
        <vertAlign val="subscript"/>
        <sz val="8"/>
        <rFont val="Arial"/>
        <family val="2"/>
      </rPr>
      <t>PAO</t>
    </r>
    <r>
      <rPr>
        <vertAlign val="superscript"/>
        <sz val="10"/>
        <rFont val="Arial"/>
        <family val="2"/>
      </rPr>
      <t>-1</t>
    </r>
  </si>
  <si>
    <r>
      <t>P content of S</t>
    </r>
    <r>
      <rPr>
        <vertAlign val="subscript"/>
        <sz val="10"/>
        <rFont val="Arial"/>
        <family val="2"/>
      </rPr>
      <t>B</t>
    </r>
  </si>
  <si>
    <r>
      <t>g P.g S</t>
    </r>
    <r>
      <rPr>
        <vertAlign val="subscript"/>
        <sz val="8"/>
        <rFont val="Arial"/>
        <family val="2"/>
      </rPr>
      <t>B</t>
    </r>
    <r>
      <rPr>
        <vertAlign val="superscript"/>
        <sz val="10"/>
        <rFont val="Arial"/>
        <family val="2"/>
      </rPr>
      <t>-1</t>
    </r>
  </si>
  <si>
    <r>
      <t>-(1-</t>
    </r>
    <r>
      <rPr>
        <i/>
        <sz val="12"/>
        <color indexed="10"/>
        <rFont val="Arial"/>
        <family val="2"/>
      </rPr>
      <t>f</t>
    </r>
    <r>
      <rPr>
        <vertAlign val="subscript"/>
        <sz val="12"/>
        <color indexed="10"/>
        <rFont val="Arial"/>
        <family val="2"/>
      </rPr>
      <t>SU_XCB,hyd</t>
    </r>
    <r>
      <rPr>
        <sz val="12"/>
        <rFont val="Arial"/>
        <family val="2"/>
      </rPr>
      <t>)*</t>
    </r>
    <r>
      <rPr>
        <i/>
        <sz val="12"/>
        <rFont val="Arial"/>
        <family val="2"/>
      </rPr>
      <t>i</t>
    </r>
    <r>
      <rPr>
        <vertAlign val="subscript"/>
        <sz val="12"/>
        <rFont val="Arial"/>
        <family val="2"/>
      </rPr>
      <t>P_SB</t>
    </r>
    <r>
      <rPr>
        <sz val="12"/>
        <color indexed="10"/>
        <rFont val="Arial"/>
        <family val="2"/>
      </rPr>
      <t>-</t>
    </r>
    <r>
      <rPr>
        <i/>
        <sz val="12"/>
        <color indexed="10"/>
        <rFont val="Arial"/>
        <family val="2"/>
      </rPr>
      <t>f</t>
    </r>
    <r>
      <rPr>
        <vertAlign val="subscript"/>
        <sz val="12"/>
        <color indexed="10"/>
        <rFont val="Arial"/>
        <family val="2"/>
      </rPr>
      <t>SU_XCB,hyd</t>
    </r>
    <r>
      <rPr>
        <sz val="12"/>
        <color indexed="10"/>
        <rFont val="Arial"/>
        <family val="2"/>
      </rPr>
      <t>*</t>
    </r>
    <r>
      <rPr>
        <i/>
        <sz val="12"/>
        <color indexed="10"/>
        <rFont val="Arial"/>
        <family val="2"/>
      </rPr>
      <t>i</t>
    </r>
    <r>
      <rPr>
        <vertAlign val="subscript"/>
        <sz val="12"/>
        <color indexed="10"/>
        <rFont val="Arial"/>
        <family val="2"/>
      </rPr>
      <t>P_SU</t>
    </r>
    <r>
      <rPr>
        <sz val="12"/>
        <rFont val="Arial"/>
        <family val="2"/>
      </rPr>
      <t>+</t>
    </r>
    <r>
      <rPr>
        <i/>
        <sz val="12"/>
        <rFont val="Arial"/>
        <family val="2"/>
      </rPr>
      <t>i</t>
    </r>
    <r>
      <rPr>
        <vertAlign val="subscript"/>
        <sz val="12"/>
        <rFont val="Arial"/>
        <family val="2"/>
      </rPr>
      <t>P_XCB</t>
    </r>
  </si>
  <si>
    <r>
      <t>v</t>
    </r>
    <r>
      <rPr>
        <vertAlign val="subscript"/>
        <sz val="12"/>
        <rFont val="Arial"/>
        <family val="2"/>
      </rPr>
      <t>1_SNHx</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1_SPO4</t>
    </r>
    <r>
      <rPr>
        <sz val="12"/>
        <rFont val="Arial"/>
        <family val="2"/>
      </rPr>
      <t>*</t>
    </r>
    <r>
      <rPr>
        <i/>
        <sz val="12"/>
        <rFont val="Arial"/>
        <family val="2"/>
      </rPr>
      <t>i</t>
    </r>
    <r>
      <rPr>
        <vertAlign val="subscript"/>
        <sz val="12"/>
        <rFont val="Arial"/>
        <family val="2"/>
      </rPr>
      <t>Charge_PO4</t>
    </r>
  </si>
  <si>
    <r>
      <t>q</t>
    </r>
    <r>
      <rPr>
        <vertAlign val="subscript"/>
        <sz val="12"/>
        <rFont val="Arial"/>
        <family val="2"/>
      </rPr>
      <t>XCB_SB,hyd</t>
    </r>
    <r>
      <rPr>
        <sz val="12"/>
        <rFont val="Arial"/>
        <family val="2"/>
      </rPr>
      <t>*[(</t>
    </r>
    <r>
      <rPr>
        <i/>
        <sz val="12"/>
        <rFont val="Arial"/>
        <family val="2"/>
      </rPr>
      <t>XC</t>
    </r>
    <r>
      <rPr>
        <vertAlign val="subscript"/>
        <sz val="12"/>
        <rFont val="Arial"/>
        <family val="2"/>
      </rPr>
      <t>B</t>
    </r>
    <r>
      <rPr>
        <sz val="12"/>
        <rFont val="Arial"/>
        <family val="2"/>
      </rPr>
      <t>/</t>
    </r>
    <r>
      <rPr>
        <i/>
        <sz val="12"/>
        <rFont val="Arial"/>
        <family val="2"/>
      </rPr>
      <t>X</t>
    </r>
    <r>
      <rPr>
        <vertAlign val="subscript"/>
        <sz val="12"/>
        <rFont val="Arial"/>
        <family val="2"/>
      </rPr>
      <t>OHO</t>
    </r>
    <r>
      <rPr>
        <sz val="12"/>
        <rFont val="Arial"/>
        <family val="2"/>
      </rPr>
      <t>)/(</t>
    </r>
    <r>
      <rPr>
        <i/>
        <sz val="12"/>
        <rFont val="Arial"/>
        <family val="2"/>
      </rPr>
      <t>K</t>
    </r>
    <r>
      <rPr>
        <vertAlign val="subscript"/>
        <sz val="12"/>
        <rFont val="Arial"/>
        <family val="2"/>
      </rPr>
      <t>XCB,hyd</t>
    </r>
    <r>
      <rPr>
        <sz val="12"/>
        <rFont val="Arial"/>
        <family val="2"/>
      </rPr>
      <t>+</t>
    </r>
    <r>
      <rPr>
        <i/>
        <sz val="12"/>
        <rFont val="Arial"/>
        <family val="2"/>
      </rPr>
      <t>XC</t>
    </r>
    <r>
      <rPr>
        <vertAlign val="subscript"/>
        <sz val="12"/>
        <rFont val="Arial"/>
        <family val="2"/>
      </rPr>
      <t>B</t>
    </r>
    <r>
      <rPr>
        <sz val="12"/>
        <rFont val="Arial"/>
        <family val="2"/>
      </rPr>
      <t>/</t>
    </r>
    <r>
      <rPr>
        <i/>
        <sz val="12"/>
        <rFont val="Arial"/>
        <family val="2"/>
      </rPr>
      <t>X</t>
    </r>
    <r>
      <rPr>
        <vertAlign val="subscript"/>
        <sz val="12"/>
        <rFont val="Arial"/>
        <family val="2"/>
      </rPr>
      <t>OHO</t>
    </r>
    <r>
      <rPr>
        <sz val="12"/>
        <rFont val="Arial"/>
        <family val="2"/>
      </rPr>
      <t>)]*</t>
    </r>
    <r>
      <rPr>
        <i/>
        <sz val="12"/>
        <rFont val="Arial"/>
        <family val="2"/>
      </rPr>
      <t>X</t>
    </r>
    <r>
      <rPr>
        <vertAlign val="subscript"/>
        <sz val="12"/>
        <rFont val="Arial"/>
        <family val="2"/>
      </rPr>
      <t>OHO</t>
    </r>
  </si>
  <si>
    <r>
      <t>v</t>
    </r>
    <r>
      <rPr>
        <vertAlign val="subscript"/>
        <sz val="12"/>
        <rFont val="Arial"/>
        <family val="2"/>
      </rPr>
      <t>2_SNHx</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2_SPO4</t>
    </r>
    <r>
      <rPr>
        <sz val="12"/>
        <rFont val="Arial"/>
        <family val="2"/>
      </rPr>
      <t>*</t>
    </r>
    <r>
      <rPr>
        <i/>
        <sz val="12"/>
        <rFont val="Arial"/>
        <family val="2"/>
      </rPr>
      <t>i</t>
    </r>
    <r>
      <rPr>
        <vertAlign val="subscript"/>
        <sz val="12"/>
        <rFont val="Arial"/>
        <family val="2"/>
      </rPr>
      <t>Charge_PO4</t>
    </r>
  </si>
  <si>
    <r>
      <t>Y</t>
    </r>
    <r>
      <rPr>
        <vertAlign val="subscript"/>
        <sz val="12"/>
        <rFont val="Arial"/>
        <family val="2"/>
      </rPr>
      <t>SB_Stor,Ox</t>
    </r>
    <r>
      <rPr>
        <sz val="12"/>
        <rFont val="Arial"/>
        <family val="2"/>
      </rPr>
      <t>*</t>
    </r>
    <r>
      <rPr>
        <i/>
        <sz val="12"/>
        <rFont val="Arial"/>
        <family val="2"/>
      </rPr>
      <t>i</t>
    </r>
    <r>
      <rPr>
        <vertAlign val="subscript"/>
        <sz val="12"/>
        <rFont val="Arial"/>
        <family val="2"/>
      </rPr>
      <t>TSS_XOHO,Stor</t>
    </r>
  </si>
  <si>
    <r>
      <t>v</t>
    </r>
    <r>
      <rPr>
        <vertAlign val="subscript"/>
        <sz val="12"/>
        <rFont val="Arial"/>
        <family val="2"/>
      </rPr>
      <t>3_SNHx</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3_SNOx</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v</t>
    </r>
    <r>
      <rPr>
        <vertAlign val="subscript"/>
        <sz val="12"/>
        <rFont val="Arial"/>
        <family val="2"/>
      </rPr>
      <t>3_SPO4</t>
    </r>
    <r>
      <rPr>
        <sz val="12"/>
        <rFont val="Arial"/>
        <family val="2"/>
      </rPr>
      <t>*</t>
    </r>
    <r>
      <rPr>
        <i/>
        <sz val="12"/>
        <rFont val="Arial"/>
        <family val="2"/>
      </rPr>
      <t>i</t>
    </r>
    <r>
      <rPr>
        <vertAlign val="subscript"/>
        <sz val="12"/>
        <rFont val="Arial"/>
        <family val="2"/>
      </rPr>
      <t>Charge_PO4</t>
    </r>
  </si>
  <si>
    <r>
      <t>Y</t>
    </r>
    <r>
      <rPr>
        <vertAlign val="subscript"/>
        <sz val="12"/>
        <rFont val="Arial"/>
        <family val="2"/>
      </rPr>
      <t>SB_Stor,Ax</t>
    </r>
    <r>
      <rPr>
        <sz val="12"/>
        <rFont val="Arial"/>
        <family val="2"/>
      </rPr>
      <t>*</t>
    </r>
    <r>
      <rPr>
        <i/>
        <sz val="12"/>
        <rFont val="Arial"/>
        <family val="2"/>
      </rPr>
      <t>i</t>
    </r>
    <r>
      <rPr>
        <vertAlign val="subscript"/>
        <sz val="12"/>
        <rFont val="Arial"/>
        <family val="2"/>
      </rPr>
      <t>TSS_XOHO,Stor</t>
    </r>
  </si>
  <si>
    <r>
      <t>q</t>
    </r>
    <r>
      <rPr>
        <vertAlign val="subscript"/>
        <sz val="12"/>
        <rFont val="Arial"/>
        <family val="2"/>
      </rPr>
      <t>SB_Stor</t>
    </r>
    <r>
      <rPr>
        <sz val="12"/>
        <rFont val="Arial"/>
        <family val="2"/>
      </rPr>
      <t>*</t>
    </r>
    <r>
      <rPr>
        <i/>
        <sz val="12"/>
        <rFont val="Arial"/>
        <family val="2"/>
      </rPr>
      <t>n</t>
    </r>
    <r>
      <rPr>
        <vertAlign val="subscript"/>
        <sz val="12"/>
        <rFont val="Arial"/>
        <family val="2"/>
      </rPr>
      <t>μOHO,Ax</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K</t>
    </r>
    <r>
      <rPr>
        <vertAlign val="subscript"/>
        <sz val="12"/>
        <rFont val="Arial"/>
        <family val="2"/>
      </rPr>
      <t>NOx,OHO</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S</t>
    </r>
    <r>
      <rPr>
        <vertAlign val="subscript"/>
        <sz val="12"/>
        <rFont val="Arial"/>
        <family val="2"/>
      </rPr>
      <t>B</t>
    </r>
    <r>
      <rPr>
        <sz val="12"/>
        <rFont val="Arial"/>
        <family val="2"/>
      </rPr>
      <t>/(</t>
    </r>
    <r>
      <rPr>
        <i/>
        <sz val="12"/>
        <rFont val="Arial"/>
        <family val="2"/>
      </rPr>
      <t>K</t>
    </r>
    <r>
      <rPr>
        <vertAlign val="subscript"/>
        <sz val="12"/>
        <rFont val="Arial"/>
        <family val="2"/>
      </rPr>
      <t>SB,OHO</t>
    </r>
    <r>
      <rPr>
        <sz val="12"/>
        <rFont val="Arial"/>
        <family val="2"/>
      </rPr>
      <t>+</t>
    </r>
    <r>
      <rPr>
        <i/>
        <sz val="12"/>
        <rFont val="Arial"/>
        <family val="2"/>
      </rPr>
      <t>S</t>
    </r>
    <r>
      <rPr>
        <vertAlign val="subscript"/>
        <sz val="12"/>
        <rFont val="Arial"/>
        <family val="2"/>
      </rPr>
      <t>B</t>
    </r>
    <r>
      <rPr>
        <sz val="12"/>
        <rFont val="Arial"/>
        <family val="2"/>
      </rPr>
      <t>)]*</t>
    </r>
    <r>
      <rPr>
        <i/>
        <sz val="12"/>
        <rFont val="Arial"/>
        <family val="2"/>
      </rPr>
      <t>X</t>
    </r>
    <r>
      <rPr>
        <vertAlign val="subscript"/>
        <sz val="12"/>
        <rFont val="Arial"/>
        <family val="2"/>
      </rPr>
      <t>OHO</t>
    </r>
  </si>
  <si>
    <r>
      <t>-</t>
    </r>
    <r>
      <rPr>
        <i/>
        <sz val="12"/>
        <rFont val="Arial"/>
        <family val="2"/>
      </rPr>
      <t>i</t>
    </r>
    <r>
      <rPr>
        <vertAlign val="subscript"/>
        <sz val="12"/>
        <rFont val="Arial"/>
        <family val="2"/>
      </rPr>
      <t>P_XBio</t>
    </r>
  </si>
  <si>
    <r>
      <t>v</t>
    </r>
    <r>
      <rPr>
        <vertAlign val="subscript"/>
        <sz val="12"/>
        <rFont val="Arial"/>
        <family val="2"/>
      </rPr>
      <t>4_SNHx</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4_SPO4</t>
    </r>
    <r>
      <rPr>
        <sz val="12"/>
        <rFont val="Arial"/>
        <family val="2"/>
      </rPr>
      <t>*</t>
    </r>
    <r>
      <rPr>
        <i/>
        <sz val="12"/>
        <rFont val="Arial"/>
        <family val="2"/>
      </rPr>
      <t>i</t>
    </r>
    <r>
      <rPr>
        <vertAlign val="subscript"/>
        <sz val="12"/>
        <rFont val="Arial"/>
        <family val="2"/>
      </rPr>
      <t>Charge_PO4</t>
    </r>
  </si>
  <si>
    <r>
      <t>(-1/</t>
    </r>
    <r>
      <rPr>
        <i/>
        <sz val="12"/>
        <rFont val="Arial"/>
        <family val="2"/>
      </rPr>
      <t>Y</t>
    </r>
    <r>
      <rPr>
        <vertAlign val="subscript"/>
        <sz val="12"/>
        <rFont val="Arial"/>
        <family val="2"/>
      </rPr>
      <t>Stor_OHO,Ox</t>
    </r>
    <r>
      <rPr>
        <sz val="12"/>
        <rFont val="Arial"/>
        <family val="2"/>
      </rPr>
      <t>)*</t>
    </r>
    <r>
      <rPr>
        <i/>
        <sz val="12"/>
        <rFont val="Arial"/>
        <family val="2"/>
      </rPr>
      <t>i</t>
    </r>
    <r>
      <rPr>
        <vertAlign val="subscript"/>
        <sz val="12"/>
        <rFont val="Arial"/>
        <family val="2"/>
      </rPr>
      <t>TSS_XOHO,Stor</t>
    </r>
    <r>
      <rPr>
        <sz val="12"/>
        <rFont val="Arial"/>
        <family val="2"/>
      </rPr>
      <t>+</t>
    </r>
    <r>
      <rPr>
        <i/>
        <sz val="12"/>
        <rFont val="Arial"/>
        <family val="2"/>
      </rPr>
      <t>i</t>
    </r>
    <r>
      <rPr>
        <vertAlign val="subscript"/>
        <sz val="12"/>
        <rFont val="Arial"/>
        <family val="2"/>
      </rPr>
      <t>TSS_XBio</t>
    </r>
  </si>
  <si>
    <r>
      <t>μ</t>
    </r>
    <r>
      <rPr>
        <vertAlign val="subscript"/>
        <sz val="12"/>
        <rFont val="Arial"/>
        <family val="2"/>
      </rPr>
      <t>OHO,Max</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NHX</t>
    </r>
    <r>
      <rPr>
        <sz val="12"/>
        <rFont val="Arial"/>
        <family val="2"/>
      </rPr>
      <t>/(</t>
    </r>
    <r>
      <rPr>
        <i/>
        <sz val="12"/>
        <rFont val="Arial"/>
        <family val="2"/>
      </rPr>
      <t>K</t>
    </r>
    <r>
      <rPr>
        <vertAlign val="subscript"/>
        <sz val="12"/>
        <rFont val="Arial"/>
        <family val="2"/>
      </rPr>
      <t>NHx,OHO</t>
    </r>
    <r>
      <rPr>
        <sz val="12"/>
        <rFont val="Arial"/>
        <family val="2"/>
      </rPr>
      <t>+</t>
    </r>
    <r>
      <rPr>
        <i/>
        <sz val="12"/>
        <rFont val="Arial"/>
        <family val="2"/>
      </rPr>
      <t>S</t>
    </r>
    <r>
      <rPr>
        <vertAlign val="subscript"/>
        <sz val="12"/>
        <rFont val="Arial"/>
        <family val="2"/>
      </rPr>
      <t>NHX</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K</t>
    </r>
    <r>
      <rPr>
        <vertAlign val="subscript"/>
        <sz val="12"/>
        <rFont val="Arial"/>
        <family val="2"/>
      </rPr>
      <t>Alk,OHO</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K</t>
    </r>
    <r>
      <rPr>
        <vertAlign val="subscript"/>
        <sz val="12"/>
        <rFont val="Arial"/>
        <family val="2"/>
      </rPr>
      <t>PO4,OHO</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X</t>
    </r>
    <r>
      <rPr>
        <vertAlign val="subscript"/>
        <sz val="12"/>
        <rFont val="Arial"/>
        <family val="2"/>
      </rPr>
      <t>OHO,Stor</t>
    </r>
    <r>
      <rPr>
        <sz val="12"/>
        <rFont val="Arial"/>
        <family val="2"/>
      </rPr>
      <t>/</t>
    </r>
    <r>
      <rPr>
        <i/>
        <sz val="12"/>
        <rFont val="Arial"/>
        <family val="2"/>
      </rPr>
      <t>X</t>
    </r>
    <r>
      <rPr>
        <vertAlign val="subscript"/>
        <sz val="12"/>
        <rFont val="Arial"/>
        <family val="2"/>
      </rPr>
      <t>OHO</t>
    </r>
    <r>
      <rPr>
        <sz val="12"/>
        <rFont val="Arial"/>
        <family val="2"/>
      </rPr>
      <t>)/(</t>
    </r>
    <r>
      <rPr>
        <i/>
        <sz val="12"/>
        <rFont val="Arial"/>
        <family val="2"/>
      </rPr>
      <t>K</t>
    </r>
    <r>
      <rPr>
        <vertAlign val="subscript"/>
        <sz val="12"/>
        <rFont val="Arial"/>
        <family val="2"/>
      </rPr>
      <t>Stor_OHO</t>
    </r>
    <r>
      <rPr>
        <sz val="12"/>
        <rFont val="Arial"/>
        <family val="2"/>
      </rPr>
      <t>+</t>
    </r>
    <r>
      <rPr>
        <i/>
        <sz val="12"/>
        <rFont val="Arial"/>
        <family val="2"/>
      </rPr>
      <t>X</t>
    </r>
    <r>
      <rPr>
        <vertAlign val="subscript"/>
        <sz val="12"/>
        <rFont val="Arial"/>
        <family val="2"/>
      </rPr>
      <t>OHO,Stor</t>
    </r>
    <r>
      <rPr>
        <sz val="12"/>
        <rFont val="Arial"/>
        <family val="2"/>
      </rPr>
      <t>/</t>
    </r>
    <r>
      <rPr>
        <i/>
        <sz val="12"/>
        <rFont val="Arial"/>
        <family val="2"/>
      </rPr>
      <t>X</t>
    </r>
    <r>
      <rPr>
        <vertAlign val="subscript"/>
        <sz val="12"/>
        <rFont val="Arial"/>
        <family val="2"/>
      </rPr>
      <t>OHO</t>
    </r>
    <r>
      <rPr>
        <sz val="12"/>
        <rFont val="Arial"/>
        <family val="2"/>
      </rPr>
      <t>)]*</t>
    </r>
    <r>
      <rPr>
        <i/>
        <sz val="12"/>
        <rFont val="Arial"/>
        <family val="2"/>
      </rPr>
      <t>X</t>
    </r>
    <r>
      <rPr>
        <vertAlign val="subscript"/>
        <sz val="12"/>
        <rFont val="Arial"/>
        <family val="2"/>
      </rPr>
      <t>OHO</t>
    </r>
  </si>
  <si>
    <r>
      <t>v</t>
    </r>
    <r>
      <rPr>
        <vertAlign val="subscript"/>
        <sz val="12"/>
        <rFont val="Arial"/>
        <family val="2"/>
      </rPr>
      <t>5_SNHx</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5_SNOx</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v</t>
    </r>
    <r>
      <rPr>
        <vertAlign val="subscript"/>
        <sz val="12"/>
        <rFont val="Arial"/>
        <family val="2"/>
      </rPr>
      <t>5_SPO4</t>
    </r>
    <r>
      <rPr>
        <sz val="12"/>
        <rFont val="Arial"/>
        <family val="2"/>
      </rPr>
      <t>*</t>
    </r>
    <r>
      <rPr>
        <i/>
        <sz val="12"/>
        <rFont val="Arial"/>
        <family val="2"/>
      </rPr>
      <t>i</t>
    </r>
    <r>
      <rPr>
        <vertAlign val="subscript"/>
        <sz val="12"/>
        <rFont val="Arial"/>
        <family val="2"/>
      </rPr>
      <t>Charge_PO4</t>
    </r>
  </si>
  <si>
    <r>
      <t>(-1/</t>
    </r>
    <r>
      <rPr>
        <i/>
        <sz val="12"/>
        <rFont val="Arial"/>
        <family val="2"/>
      </rPr>
      <t>Y</t>
    </r>
    <r>
      <rPr>
        <vertAlign val="subscript"/>
        <sz val="12"/>
        <rFont val="Arial"/>
        <family val="2"/>
      </rPr>
      <t>Stor_OHO,Ax</t>
    </r>
    <r>
      <rPr>
        <sz val="12"/>
        <rFont val="Arial"/>
        <family val="2"/>
      </rPr>
      <t>)*</t>
    </r>
    <r>
      <rPr>
        <i/>
        <sz val="12"/>
        <rFont val="Arial"/>
        <family val="2"/>
      </rPr>
      <t>i</t>
    </r>
    <r>
      <rPr>
        <vertAlign val="subscript"/>
        <sz val="12"/>
        <rFont val="Arial"/>
        <family val="2"/>
      </rPr>
      <t>TSS_XOHO,Stor</t>
    </r>
    <r>
      <rPr>
        <sz val="12"/>
        <rFont val="Arial"/>
        <family val="2"/>
      </rPr>
      <t>+</t>
    </r>
    <r>
      <rPr>
        <i/>
        <sz val="12"/>
        <rFont val="Arial"/>
        <family val="2"/>
      </rPr>
      <t>i</t>
    </r>
    <r>
      <rPr>
        <vertAlign val="subscript"/>
        <sz val="12"/>
        <rFont val="Arial"/>
        <family val="2"/>
      </rPr>
      <t>TSS_XBio</t>
    </r>
  </si>
  <si>
    <r>
      <t>μ</t>
    </r>
    <r>
      <rPr>
        <vertAlign val="subscript"/>
        <sz val="12"/>
        <rFont val="Arial"/>
        <family val="2"/>
      </rPr>
      <t>OHO,Max</t>
    </r>
    <r>
      <rPr>
        <sz val="12"/>
        <rFont val="Arial"/>
        <family val="2"/>
      </rPr>
      <t>*</t>
    </r>
    <r>
      <rPr>
        <i/>
        <sz val="12"/>
        <rFont val="Arial"/>
        <family val="2"/>
      </rPr>
      <t>n</t>
    </r>
    <r>
      <rPr>
        <vertAlign val="subscript"/>
        <sz val="12"/>
        <rFont val="Arial"/>
        <family val="2"/>
      </rPr>
      <t>μOHO,Ax</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K</t>
    </r>
    <r>
      <rPr>
        <vertAlign val="subscript"/>
        <sz val="12"/>
        <rFont val="Arial"/>
        <family val="2"/>
      </rPr>
      <t>NOx,OHO</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S</t>
    </r>
    <r>
      <rPr>
        <vertAlign val="subscript"/>
        <sz val="12"/>
        <rFont val="Arial"/>
        <family val="2"/>
      </rPr>
      <t>NHX</t>
    </r>
    <r>
      <rPr>
        <sz val="12"/>
        <rFont val="Arial"/>
        <family val="2"/>
      </rPr>
      <t>/(</t>
    </r>
    <r>
      <rPr>
        <i/>
        <sz val="12"/>
        <rFont val="Arial"/>
        <family val="2"/>
      </rPr>
      <t>K</t>
    </r>
    <r>
      <rPr>
        <vertAlign val="subscript"/>
        <sz val="12"/>
        <rFont val="Arial"/>
        <family val="2"/>
      </rPr>
      <t>NHx,OHO</t>
    </r>
    <r>
      <rPr>
        <sz val="12"/>
        <rFont val="Arial"/>
        <family val="2"/>
      </rPr>
      <t>+</t>
    </r>
    <r>
      <rPr>
        <i/>
        <sz val="12"/>
        <rFont val="Arial"/>
        <family val="2"/>
      </rPr>
      <t>S</t>
    </r>
    <r>
      <rPr>
        <vertAlign val="subscript"/>
        <sz val="12"/>
        <rFont val="Arial"/>
        <family val="2"/>
      </rPr>
      <t>NHX</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K</t>
    </r>
    <r>
      <rPr>
        <vertAlign val="subscript"/>
        <sz val="12"/>
        <rFont val="Arial"/>
        <family val="2"/>
      </rPr>
      <t>Alk,OHO</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K</t>
    </r>
    <r>
      <rPr>
        <vertAlign val="subscript"/>
        <sz val="12"/>
        <rFont val="Arial"/>
        <family val="2"/>
      </rPr>
      <t>PO4,OHO</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X</t>
    </r>
    <r>
      <rPr>
        <vertAlign val="subscript"/>
        <sz val="12"/>
        <rFont val="Arial"/>
        <family val="2"/>
      </rPr>
      <t>OHO,Stor</t>
    </r>
    <r>
      <rPr>
        <sz val="12"/>
        <rFont val="Arial"/>
        <family val="2"/>
      </rPr>
      <t>/</t>
    </r>
    <r>
      <rPr>
        <i/>
        <sz val="12"/>
        <rFont val="Arial"/>
        <family val="2"/>
      </rPr>
      <t>X</t>
    </r>
    <r>
      <rPr>
        <vertAlign val="subscript"/>
        <sz val="12"/>
        <rFont val="Arial"/>
        <family val="2"/>
      </rPr>
      <t>OHO</t>
    </r>
    <r>
      <rPr>
        <sz val="12"/>
        <rFont val="Arial"/>
        <family val="2"/>
      </rPr>
      <t>)/(</t>
    </r>
    <r>
      <rPr>
        <i/>
        <sz val="12"/>
        <rFont val="Arial"/>
        <family val="2"/>
      </rPr>
      <t>K</t>
    </r>
    <r>
      <rPr>
        <vertAlign val="subscript"/>
        <sz val="12"/>
        <rFont val="Arial"/>
        <family val="2"/>
      </rPr>
      <t>Stor_OHO</t>
    </r>
    <r>
      <rPr>
        <sz val="12"/>
        <rFont val="Arial"/>
        <family val="2"/>
      </rPr>
      <t>+</t>
    </r>
    <r>
      <rPr>
        <i/>
        <sz val="12"/>
        <rFont val="Arial"/>
        <family val="2"/>
      </rPr>
      <t>X</t>
    </r>
    <r>
      <rPr>
        <vertAlign val="subscript"/>
        <sz val="12"/>
        <rFont val="Arial"/>
        <family val="2"/>
      </rPr>
      <t>OHO,Stor</t>
    </r>
    <r>
      <rPr>
        <sz val="12"/>
        <rFont val="Arial"/>
        <family val="2"/>
      </rPr>
      <t>/</t>
    </r>
    <r>
      <rPr>
        <i/>
        <sz val="12"/>
        <rFont val="Arial"/>
        <family val="2"/>
      </rPr>
      <t>X</t>
    </r>
    <r>
      <rPr>
        <vertAlign val="subscript"/>
        <sz val="12"/>
        <rFont val="Arial"/>
        <family val="2"/>
      </rPr>
      <t>OHO</t>
    </r>
    <r>
      <rPr>
        <sz val="12"/>
        <rFont val="Arial"/>
        <family val="2"/>
      </rPr>
      <t>)]*</t>
    </r>
    <r>
      <rPr>
        <i/>
        <sz val="12"/>
        <rFont val="Arial"/>
        <family val="2"/>
      </rPr>
      <t>X</t>
    </r>
    <r>
      <rPr>
        <vertAlign val="subscript"/>
        <sz val="12"/>
        <rFont val="Arial"/>
        <family val="2"/>
      </rPr>
      <t>OHO</t>
    </r>
  </si>
  <si>
    <r>
      <t>i</t>
    </r>
    <r>
      <rPr>
        <vertAlign val="subscript"/>
        <sz val="12"/>
        <rFont val="Arial"/>
        <family val="2"/>
      </rPr>
      <t>P_XBio</t>
    </r>
    <r>
      <rPr>
        <sz val="12"/>
        <rFont val="Arial"/>
        <family val="2"/>
      </rPr>
      <t>-</t>
    </r>
    <r>
      <rPr>
        <i/>
        <sz val="12"/>
        <rFont val="Arial"/>
        <family val="2"/>
      </rPr>
      <t>f</t>
    </r>
    <r>
      <rPr>
        <vertAlign val="subscript"/>
        <sz val="12"/>
        <rFont val="Arial"/>
        <family val="2"/>
      </rPr>
      <t>XU_Bio,lys</t>
    </r>
    <r>
      <rPr>
        <sz val="12"/>
        <rFont val="Arial"/>
        <family val="2"/>
      </rPr>
      <t>*</t>
    </r>
    <r>
      <rPr>
        <i/>
        <sz val="12"/>
        <rFont val="Arial"/>
        <family val="2"/>
      </rPr>
      <t>i</t>
    </r>
    <r>
      <rPr>
        <vertAlign val="subscript"/>
        <sz val="12"/>
        <rFont val="Arial"/>
        <family val="2"/>
      </rPr>
      <t>P_XU</t>
    </r>
  </si>
  <si>
    <r>
      <t>v</t>
    </r>
    <r>
      <rPr>
        <vertAlign val="subscript"/>
        <sz val="12"/>
        <rFont val="Arial"/>
        <family val="2"/>
      </rPr>
      <t>6_SNHx</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6_SPO4</t>
    </r>
    <r>
      <rPr>
        <sz val="12"/>
        <rFont val="Arial"/>
        <family val="2"/>
      </rPr>
      <t>*</t>
    </r>
    <r>
      <rPr>
        <i/>
        <sz val="12"/>
        <rFont val="Arial"/>
        <family val="2"/>
      </rPr>
      <t>i</t>
    </r>
    <r>
      <rPr>
        <vertAlign val="subscript"/>
        <sz val="12"/>
        <rFont val="Arial"/>
        <family val="2"/>
      </rPr>
      <t>Charge_PO4</t>
    </r>
  </si>
  <si>
    <r>
      <t>m</t>
    </r>
    <r>
      <rPr>
        <vertAlign val="subscript"/>
        <sz val="12"/>
        <rFont val="Arial"/>
        <family val="2"/>
      </rPr>
      <t>OHO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X</t>
    </r>
    <r>
      <rPr>
        <vertAlign val="subscript"/>
        <sz val="12"/>
        <rFont val="Arial"/>
        <family val="2"/>
      </rPr>
      <t>OHO</t>
    </r>
  </si>
  <si>
    <r>
      <t>v</t>
    </r>
    <r>
      <rPr>
        <vertAlign val="subscript"/>
        <sz val="12"/>
        <rFont val="Arial"/>
        <family val="2"/>
      </rPr>
      <t>7_SNOx</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v</t>
    </r>
    <r>
      <rPr>
        <vertAlign val="subscript"/>
        <sz val="12"/>
        <rFont val="Arial"/>
        <family val="2"/>
      </rPr>
      <t>7_SNHx</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7_SPO4</t>
    </r>
    <r>
      <rPr>
        <sz val="12"/>
        <rFont val="Arial"/>
        <family val="2"/>
      </rPr>
      <t>*</t>
    </r>
    <r>
      <rPr>
        <i/>
        <sz val="12"/>
        <rFont val="Arial"/>
        <family val="2"/>
      </rPr>
      <t>i</t>
    </r>
    <r>
      <rPr>
        <vertAlign val="subscript"/>
        <sz val="12"/>
        <rFont val="Arial"/>
        <family val="2"/>
      </rPr>
      <t>Charge_PO4</t>
    </r>
  </si>
  <si>
    <r>
      <t>m</t>
    </r>
    <r>
      <rPr>
        <vertAlign val="subscript"/>
        <sz val="12"/>
        <rFont val="Arial"/>
        <family val="2"/>
      </rPr>
      <t>OHO</t>
    </r>
    <r>
      <rPr>
        <sz val="12"/>
        <rFont val="Arial"/>
        <family val="2"/>
      </rPr>
      <t>*</t>
    </r>
    <r>
      <rPr>
        <i/>
        <sz val="12"/>
        <rFont val="Arial"/>
        <family val="2"/>
      </rPr>
      <t>n</t>
    </r>
    <r>
      <rPr>
        <vertAlign val="subscript"/>
        <sz val="12"/>
        <rFont val="Arial"/>
        <family val="2"/>
      </rPr>
      <t>mOHO,Ax</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K</t>
    </r>
    <r>
      <rPr>
        <vertAlign val="subscript"/>
        <sz val="12"/>
        <rFont val="Arial"/>
        <family val="2"/>
      </rPr>
      <t>NOx,OHO</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X</t>
    </r>
    <r>
      <rPr>
        <vertAlign val="subscript"/>
        <sz val="12"/>
        <rFont val="Arial"/>
        <family val="2"/>
      </rPr>
      <t>OHO</t>
    </r>
  </si>
  <si>
    <r>
      <t>Conversion factor X</t>
    </r>
    <r>
      <rPr>
        <vertAlign val="subscript"/>
        <sz val="10"/>
        <rFont val="Arial"/>
        <family val="2"/>
      </rPr>
      <t>OHO,Stor</t>
    </r>
    <r>
      <rPr>
        <sz val="10"/>
        <rFont val="Arial"/>
        <family val="2"/>
      </rPr>
      <t xml:space="preserve">  in TSS</t>
    </r>
  </si>
  <si>
    <r>
      <t>-</t>
    </r>
    <r>
      <rPr>
        <i/>
        <sz val="12"/>
        <rFont val="Arial"/>
        <family val="2"/>
      </rPr>
      <t>i</t>
    </r>
    <r>
      <rPr>
        <vertAlign val="subscript"/>
        <sz val="12"/>
        <rFont val="Arial"/>
        <family val="2"/>
      </rPr>
      <t>TSS_XOHO,Stor</t>
    </r>
  </si>
  <si>
    <r>
      <t>m</t>
    </r>
    <r>
      <rPr>
        <vertAlign val="subscript"/>
        <sz val="12"/>
        <color indexed="57"/>
        <rFont val="Arial"/>
        <family val="2"/>
      </rPr>
      <t>Stor</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X</t>
    </r>
    <r>
      <rPr>
        <vertAlign val="subscript"/>
        <sz val="12"/>
        <rFont val="Arial"/>
        <family val="2"/>
      </rPr>
      <t>OHO,Stor</t>
    </r>
  </si>
  <si>
    <r>
      <t>m</t>
    </r>
    <r>
      <rPr>
        <vertAlign val="subscript"/>
        <sz val="12"/>
        <color indexed="57"/>
        <rFont val="Arial"/>
        <family val="2"/>
      </rPr>
      <t>Stor</t>
    </r>
    <r>
      <rPr>
        <sz val="12"/>
        <rFont val="Arial"/>
        <family val="2"/>
      </rPr>
      <t>*</t>
    </r>
    <r>
      <rPr>
        <i/>
        <sz val="12"/>
        <rFont val="Arial"/>
        <family val="2"/>
      </rPr>
      <t>n</t>
    </r>
    <r>
      <rPr>
        <vertAlign val="subscript"/>
        <sz val="12"/>
        <rFont val="Arial"/>
        <family val="2"/>
      </rPr>
      <t>mOHO,Ax</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K</t>
    </r>
    <r>
      <rPr>
        <vertAlign val="subscript"/>
        <sz val="12"/>
        <rFont val="Arial"/>
        <family val="2"/>
      </rPr>
      <t>NOx,OHO</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X</t>
    </r>
    <r>
      <rPr>
        <vertAlign val="subscript"/>
        <sz val="12"/>
        <rFont val="Arial"/>
        <family val="2"/>
      </rPr>
      <t>OHO,Stor</t>
    </r>
  </si>
  <si>
    <r>
      <t>Growth of X</t>
    </r>
    <r>
      <rPr>
        <b/>
        <vertAlign val="subscript"/>
        <sz val="11"/>
        <rFont val="Arial"/>
        <family val="2"/>
      </rPr>
      <t>ANO</t>
    </r>
    <r>
      <rPr>
        <b/>
        <sz val="11"/>
        <rFont val="Arial"/>
        <family val="2"/>
      </rPr>
      <t xml:space="preserve"> (Nitrification)</t>
    </r>
  </si>
  <si>
    <r>
      <t>v</t>
    </r>
    <r>
      <rPr>
        <vertAlign val="subscript"/>
        <sz val="12"/>
        <rFont val="Arial"/>
        <family val="2"/>
      </rPr>
      <t>10_SNHx</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10_SNOx</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v</t>
    </r>
    <r>
      <rPr>
        <vertAlign val="subscript"/>
        <sz val="12"/>
        <rFont val="Arial"/>
        <family val="2"/>
      </rPr>
      <t>10_SPO4</t>
    </r>
    <r>
      <rPr>
        <sz val="12"/>
        <rFont val="Arial"/>
        <family val="2"/>
      </rPr>
      <t>*</t>
    </r>
    <r>
      <rPr>
        <i/>
        <sz val="12"/>
        <rFont val="Arial"/>
        <family val="2"/>
      </rPr>
      <t>i</t>
    </r>
    <r>
      <rPr>
        <vertAlign val="subscript"/>
        <sz val="12"/>
        <rFont val="Arial"/>
        <family val="2"/>
      </rPr>
      <t>Charge_PO4</t>
    </r>
  </si>
  <si>
    <r>
      <t>μ</t>
    </r>
    <r>
      <rPr>
        <vertAlign val="subscript"/>
        <sz val="12"/>
        <rFont val="Arial"/>
        <family val="2"/>
      </rPr>
      <t>ANO,Max</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O2,ANO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NHX</t>
    </r>
    <r>
      <rPr>
        <sz val="12"/>
        <rFont val="Arial"/>
        <family val="2"/>
      </rPr>
      <t>/(</t>
    </r>
    <r>
      <rPr>
        <i/>
        <sz val="12"/>
        <rFont val="Arial"/>
        <family val="2"/>
      </rPr>
      <t>K</t>
    </r>
    <r>
      <rPr>
        <vertAlign val="subscript"/>
        <sz val="12"/>
        <rFont val="Arial"/>
        <family val="2"/>
      </rPr>
      <t>NHx,ANO</t>
    </r>
    <r>
      <rPr>
        <sz val="12"/>
        <rFont val="Arial"/>
        <family val="2"/>
      </rPr>
      <t>+</t>
    </r>
    <r>
      <rPr>
        <i/>
        <sz val="12"/>
        <rFont val="Arial"/>
        <family val="2"/>
      </rPr>
      <t>S</t>
    </r>
    <r>
      <rPr>
        <vertAlign val="subscript"/>
        <sz val="12"/>
        <rFont val="Arial"/>
        <family val="2"/>
      </rPr>
      <t>NHX</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K</t>
    </r>
    <r>
      <rPr>
        <vertAlign val="subscript"/>
        <sz val="12"/>
        <rFont val="Arial"/>
        <family val="2"/>
      </rPr>
      <t>Alk,ANO</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K</t>
    </r>
    <r>
      <rPr>
        <vertAlign val="subscript"/>
        <sz val="12"/>
        <rFont val="Arial"/>
        <family val="2"/>
      </rPr>
      <t>PO4,ANO</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X</t>
    </r>
    <r>
      <rPr>
        <vertAlign val="subscript"/>
        <sz val="12"/>
        <rFont val="Arial"/>
        <family val="2"/>
      </rPr>
      <t>ANO</t>
    </r>
  </si>
  <si>
    <r>
      <t>v</t>
    </r>
    <r>
      <rPr>
        <vertAlign val="subscript"/>
        <sz val="12"/>
        <rFont val="Arial"/>
        <family val="2"/>
      </rPr>
      <t>11_SNHx</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11_SPO4</t>
    </r>
    <r>
      <rPr>
        <sz val="12"/>
        <rFont val="Arial"/>
        <family val="2"/>
      </rPr>
      <t>*</t>
    </r>
    <r>
      <rPr>
        <i/>
        <sz val="12"/>
        <rFont val="Arial"/>
        <family val="2"/>
      </rPr>
      <t>i</t>
    </r>
    <r>
      <rPr>
        <vertAlign val="subscript"/>
        <sz val="12"/>
        <rFont val="Arial"/>
        <family val="2"/>
      </rPr>
      <t>Charge_PO4</t>
    </r>
  </si>
  <si>
    <r>
      <t>b</t>
    </r>
    <r>
      <rPr>
        <vertAlign val="subscript"/>
        <sz val="12"/>
        <rFont val="Arial"/>
        <family val="2"/>
      </rPr>
      <t>ANO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O2,ANO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X</t>
    </r>
    <r>
      <rPr>
        <vertAlign val="subscript"/>
        <sz val="12"/>
        <rFont val="Arial"/>
        <family val="2"/>
      </rPr>
      <t>ANO</t>
    </r>
  </si>
  <si>
    <r>
      <t>v</t>
    </r>
    <r>
      <rPr>
        <vertAlign val="subscript"/>
        <sz val="12"/>
        <rFont val="Arial"/>
        <family val="2"/>
      </rPr>
      <t>12_SNHx</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12_SNOx</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v</t>
    </r>
    <r>
      <rPr>
        <vertAlign val="subscript"/>
        <sz val="12"/>
        <rFont val="Arial"/>
        <family val="2"/>
      </rPr>
      <t>12_SPO4</t>
    </r>
    <r>
      <rPr>
        <sz val="12"/>
        <rFont val="Arial"/>
        <family val="2"/>
      </rPr>
      <t>*</t>
    </r>
    <r>
      <rPr>
        <i/>
        <sz val="12"/>
        <rFont val="Arial"/>
        <family val="2"/>
      </rPr>
      <t>i</t>
    </r>
    <r>
      <rPr>
        <vertAlign val="subscript"/>
        <sz val="12"/>
        <rFont val="Arial"/>
        <family val="2"/>
      </rPr>
      <t>Charge_PO4</t>
    </r>
  </si>
  <si>
    <r>
      <t>b</t>
    </r>
    <r>
      <rPr>
        <vertAlign val="subscript"/>
        <sz val="12"/>
        <rFont val="Arial"/>
        <family val="2"/>
      </rPr>
      <t>ANO</t>
    </r>
    <r>
      <rPr>
        <sz val="12"/>
        <rFont val="Arial"/>
        <family val="2"/>
      </rPr>
      <t>*</t>
    </r>
    <r>
      <rPr>
        <i/>
        <sz val="12"/>
        <rFont val="Arial"/>
        <family val="2"/>
      </rPr>
      <t>η</t>
    </r>
    <r>
      <rPr>
        <vertAlign val="subscript"/>
        <sz val="12"/>
        <rFont val="Arial"/>
        <family val="2"/>
      </rPr>
      <t>NO,A</t>
    </r>
    <r>
      <rPr>
        <sz val="12"/>
        <rFont val="Arial"/>
        <family val="2"/>
      </rPr>
      <t>*[</t>
    </r>
    <r>
      <rPr>
        <i/>
        <sz val="12"/>
        <rFont val="Arial"/>
        <family val="2"/>
      </rPr>
      <t>K</t>
    </r>
    <r>
      <rPr>
        <vertAlign val="subscript"/>
        <sz val="12"/>
        <rFont val="Arial"/>
        <family val="2"/>
      </rPr>
      <t>O2,ANO</t>
    </r>
    <r>
      <rPr>
        <sz val="12"/>
        <rFont val="Arial"/>
        <family val="2"/>
      </rPr>
      <t>/(</t>
    </r>
    <r>
      <rPr>
        <i/>
        <sz val="12"/>
        <rFont val="Arial"/>
        <family val="2"/>
      </rPr>
      <t>K</t>
    </r>
    <r>
      <rPr>
        <vertAlign val="subscript"/>
        <sz val="12"/>
        <rFont val="Arial"/>
        <family val="2"/>
      </rPr>
      <t>O2,ANO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K</t>
    </r>
    <r>
      <rPr>
        <vertAlign val="subscript"/>
        <sz val="12"/>
        <rFont val="Arial"/>
        <family val="2"/>
      </rPr>
      <t>NOx,OHO</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X</t>
    </r>
    <r>
      <rPr>
        <vertAlign val="subscript"/>
        <sz val="12"/>
        <rFont val="Arial"/>
        <family val="2"/>
      </rPr>
      <t>ANO</t>
    </r>
  </si>
  <si>
    <r>
      <t>Storage of X</t>
    </r>
    <r>
      <rPr>
        <b/>
        <vertAlign val="subscript"/>
        <sz val="11"/>
        <rFont val="Arial"/>
        <family val="2"/>
      </rPr>
      <t>PAO,PHA</t>
    </r>
  </si>
  <si>
    <r>
      <t>Y</t>
    </r>
    <r>
      <rPr>
        <vertAlign val="subscript"/>
        <sz val="12"/>
        <rFont val="Arial"/>
        <family val="2"/>
      </rPr>
      <t>PP_PHA,PAO</t>
    </r>
    <r>
      <rPr>
        <sz val="12"/>
        <rFont val="Arial"/>
        <family val="2"/>
      </rPr>
      <t>+</t>
    </r>
    <r>
      <rPr>
        <i/>
        <sz val="12"/>
        <rFont val="Arial"/>
        <family val="2"/>
      </rPr>
      <t>i</t>
    </r>
    <r>
      <rPr>
        <vertAlign val="subscript"/>
        <sz val="12"/>
        <rFont val="Arial"/>
        <family val="2"/>
      </rPr>
      <t>P_SB</t>
    </r>
  </si>
  <si>
    <r>
      <t>v</t>
    </r>
    <r>
      <rPr>
        <vertAlign val="subscript"/>
        <sz val="12"/>
        <rFont val="Arial"/>
        <family val="2"/>
      </rPr>
      <t>P01_SNHx</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P01_SPO4</t>
    </r>
    <r>
      <rPr>
        <sz val="12"/>
        <rFont val="Arial"/>
        <family val="2"/>
      </rPr>
      <t>*</t>
    </r>
    <r>
      <rPr>
        <i/>
        <sz val="12"/>
        <rFont val="Arial"/>
        <family val="2"/>
      </rPr>
      <t>i</t>
    </r>
    <r>
      <rPr>
        <vertAlign val="subscript"/>
        <sz val="12"/>
        <rFont val="Arial"/>
        <family val="2"/>
      </rPr>
      <t>Charge_PO4</t>
    </r>
    <r>
      <rPr>
        <sz val="12"/>
        <rFont val="Arial"/>
        <family val="2"/>
      </rPr>
      <t>+</t>
    </r>
    <r>
      <rPr>
        <i/>
        <sz val="12"/>
        <rFont val="Arial"/>
        <family val="2"/>
      </rPr>
      <t>v</t>
    </r>
    <r>
      <rPr>
        <vertAlign val="subscript"/>
        <sz val="12"/>
        <rFont val="Arial"/>
        <family val="2"/>
      </rPr>
      <t>P01_XPAO,PP</t>
    </r>
    <r>
      <rPr>
        <sz val="12"/>
        <rFont val="Arial"/>
        <family val="2"/>
      </rPr>
      <t>*</t>
    </r>
    <r>
      <rPr>
        <i/>
        <sz val="12"/>
        <rFont val="Arial"/>
        <family val="2"/>
      </rPr>
      <t>i</t>
    </r>
    <r>
      <rPr>
        <vertAlign val="subscript"/>
        <sz val="12"/>
        <rFont val="Arial"/>
        <family val="2"/>
      </rPr>
      <t>Charge_XPAO,PP</t>
    </r>
  </si>
  <si>
    <r>
      <t>-</t>
    </r>
    <r>
      <rPr>
        <i/>
        <sz val="12"/>
        <rFont val="Arial"/>
        <family val="2"/>
      </rPr>
      <t>Y</t>
    </r>
    <r>
      <rPr>
        <vertAlign val="subscript"/>
        <sz val="12"/>
        <rFont val="Arial"/>
        <family val="2"/>
      </rPr>
      <t>PP_PHA,PAO</t>
    </r>
  </si>
  <si>
    <r>
      <t>i</t>
    </r>
    <r>
      <rPr>
        <vertAlign val="subscript"/>
        <sz val="12"/>
        <rFont val="Arial"/>
        <family val="2"/>
      </rPr>
      <t>TSS_XOHO,Stor</t>
    </r>
    <r>
      <rPr>
        <sz val="12"/>
        <rFont val="Arial"/>
        <family val="2"/>
      </rPr>
      <t>-</t>
    </r>
    <r>
      <rPr>
        <i/>
        <sz val="12"/>
        <rFont val="Arial"/>
        <family val="2"/>
      </rPr>
      <t>i</t>
    </r>
    <r>
      <rPr>
        <vertAlign val="subscript"/>
        <sz val="12"/>
        <rFont val="Arial"/>
        <family val="2"/>
      </rPr>
      <t>TSS_XPAO,PP</t>
    </r>
    <r>
      <rPr>
        <sz val="12"/>
        <rFont val="Arial"/>
        <family val="2"/>
      </rPr>
      <t>*</t>
    </r>
    <r>
      <rPr>
        <i/>
        <sz val="12"/>
        <rFont val="Arial"/>
        <family val="2"/>
      </rPr>
      <t>Y</t>
    </r>
    <r>
      <rPr>
        <vertAlign val="subscript"/>
        <sz val="12"/>
        <rFont val="Arial"/>
        <family val="2"/>
      </rPr>
      <t>PP_PHA,PAO</t>
    </r>
  </si>
  <si>
    <r>
      <t>q</t>
    </r>
    <r>
      <rPr>
        <vertAlign val="subscript"/>
        <sz val="12"/>
        <rFont val="Arial"/>
        <family val="2"/>
      </rPr>
      <t>PAO,Ac_PHA</t>
    </r>
    <r>
      <rPr>
        <sz val="12"/>
        <rFont val="Arial"/>
        <family val="2"/>
      </rPr>
      <t>*[</t>
    </r>
    <r>
      <rPr>
        <i/>
        <sz val="12"/>
        <rFont val="Arial"/>
        <family val="2"/>
      </rPr>
      <t>S</t>
    </r>
    <r>
      <rPr>
        <vertAlign val="subscript"/>
        <sz val="12"/>
        <rFont val="Arial"/>
        <family val="2"/>
      </rPr>
      <t>B</t>
    </r>
    <r>
      <rPr>
        <sz val="12"/>
        <rFont val="Arial"/>
        <family val="2"/>
      </rPr>
      <t>/(</t>
    </r>
    <r>
      <rPr>
        <i/>
        <sz val="12"/>
        <rFont val="Arial"/>
        <family val="2"/>
      </rPr>
      <t>K</t>
    </r>
    <r>
      <rPr>
        <vertAlign val="subscript"/>
        <sz val="12"/>
        <rFont val="Arial"/>
        <family val="2"/>
      </rPr>
      <t>SB,PAO</t>
    </r>
    <r>
      <rPr>
        <sz val="12"/>
        <rFont val="Arial"/>
        <family val="2"/>
      </rPr>
      <t>+</t>
    </r>
    <r>
      <rPr>
        <i/>
        <sz val="12"/>
        <rFont val="Arial"/>
        <family val="2"/>
      </rPr>
      <t>S</t>
    </r>
    <r>
      <rPr>
        <vertAlign val="subscript"/>
        <sz val="12"/>
        <rFont val="Arial"/>
        <family val="2"/>
      </rPr>
      <t>B</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K</t>
    </r>
    <r>
      <rPr>
        <vertAlign val="subscript"/>
        <sz val="12"/>
        <rFont val="Arial"/>
        <family val="2"/>
      </rPr>
      <t>Alk,PAO</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X</t>
    </r>
    <r>
      <rPr>
        <vertAlign val="subscript"/>
        <sz val="12"/>
        <rFont val="Arial"/>
        <family val="2"/>
      </rPr>
      <t>PAO,PP</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f</t>
    </r>
    <r>
      <rPr>
        <vertAlign val="subscript"/>
        <sz val="12"/>
        <rFont val="Arial"/>
        <family val="2"/>
      </rPr>
      <t>PP_PAO,Max</t>
    </r>
    <r>
      <rPr>
        <sz val="12"/>
        <rFont val="Arial"/>
        <family val="2"/>
      </rPr>
      <t>+</t>
    </r>
    <r>
      <rPr>
        <i/>
        <sz val="12"/>
        <rFont val="Arial"/>
        <family val="2"/>
      </rPr>
      <t>X</t>
    </r>
    <r>
      <rPr>
        <vertAlign val="subscript"/>
        <sz val="12"/>
        <rFont val="Arial"/>
        <family val="2"/>
      </rPr>
      <t>PAO,PP</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X</t>
    </r>
    <r>
      <rPr>
        <vertAlign val="subscript"/>
        <sz val="12"/>
        <rFont val="Arial"/>
        <family val="2"/>
      </rPr>
      <t>PAO</t>
    </r>
  </si>
  <si>
    <r>
      <t>Aerobic storage of X</t>
    </r>
    <r>
      <rPr>
        <b/>
        <vertAlign val="subscript"/>
        <sz val="11"/>
        <rFont val="Arial"/>
        <family val="2"/>
      </rPr>
      <t>PAO,PP</t>
    </r>
  </si>
  <si>
    <r>
      <t>-(1/</t>
    </r>
    <r>
      <rPr>
        <i/>
        <sz val="12"/>
        <rFont val="Arial"/>
        <family val="2"/>
      </rPr>
      <t>Y</t>
    </r>
    <r>
      <rPr>
        <vertAlign val="subscript"/>
        <sz val="12"/>
        <rFont val="Arial"/>
        <family val="2"/>
      </rPr>
      <t>PHA_PP</t>
    </r>
    <r>
      <rPr>
        <sz val="12"/>
        <rFont val="Arial"/>
        <family val="2"/>
      </rPr>
      <t>)</t>
    </r>
  </si>
  <si>
    <r>
      <t>v</t>
    </r>
    <r>
      <rPr>
        <vertAlign val="subscript"/>
        <sz val="12"/>
        <rFont val="Arial"/>
        <family val="2"/>
      </rPr>
      <t>P02_SPO4</t>
    </r>
    <r>
      <rPr>
        <sz val="12"/>
        <rFont val="Arial"/>
        <family val="2"/>
      </rPr>
      <t>*</t>
    </r>
    <r>
      <rPr>
        <i/>
        <sz val="12"/>
        <rFont val="Arial"/>
        <family val="2"/>
      </rPr>
      <t>i</t>
    </r>
    <r>
      <rPr>
        <vertAlign val="subscript"/>
        <sz val="12"/>
        <rFont val="Arial"/>
        <family val="2"/>
      </rPr>
      <t>Charge_PO4</t>
    </r>
    <r>
      <rPr>
        <sz val="12"/>
        <rFont val="Arial"/>
        <family val="2"/>
      </rPr>
      <t>+</t>
    </r>
    <r>
      <rPr>
        <i/>
        <sz val="12"/>
        <rFont val="Arial"/>
        <family val="2"/>
      </rPr>
      <t>v</t>
    </r>
    <r>
      <rPr>
        <vertAlign val="subscript"/>
        <sz val="12"/>
        <rFont val="Arial"/>
        <family val="2"/>
      </rPr>
      <t>P02_XPAO,PP</t>
    </r>
    <r>
      <rPr>
        <sz val="12"/>
        <rFont val="Arial"/>
        <family val="2"/>
      </rPr>
      <t>*</t>
    </r>
    <r>
      <rPr>
        <i/>
        <sz val="12"/>
        <rFont val="Arial"/>
        <family val="2"/>
      </rPr>
      <t>i</t>
    </r>
    <r>
      <rPr>
        <vertAlign val="subscript"/>
        <sz val="12"/>
        <rFont val="Arial"/>
        <family val="2"/>
      </rPr>
      <t>Charge_XPAO,PP</t>
    </r>
  </si>
  <si>
    <r>
      <t>-(1/</t>
    </r>
    <r>
      <rPr>
        <i/>
        <sz val="12"/>
        <rFont val="Arial"/>
        <family val="2"/>
      </rPr>
      <t>Y</t>
    </r>
    <r>
      <rPr>
        <vertAlign val="subscript"/>
        <sz val="12"/>
        <rFont val="Arial"/>
        <family val="2"/>
      </rPr>
      <t>PHA_PP</t>
    </r>
    <r>
      <rPr>
        <sz val="12"/>
        <rFont val="Arial"/>
        <family val="2"/>
      </rPr>
      <t>)*</t>
    </r>
    <r>
      <rPr>
        <i/>
        <sz val="12"/>
        <rFont val="Arial"/>
        <family val="2"/>
      </rPr>
      <t>i</t>
    </r>
    <r>
      <rPr>
        <vertAlign val="subscript"/>
        <sz val="12"/>
        <rFont val="Arial"/>
        <family val="2"/>
      </rPr>
      <t>TSS_XOHO,Stor</t>
    </r>
    <r>
      <rPr>
        <sz val="12"/>
        <rFont val="Arial"/>
        <family val="2"/>
      </rPr>
      <t>+</t>
    </r>
    <r>
      <rPr>
        <i/>
        <sz val="12"/>
        <rFont val="Arial"/>
        <family val="2"/>
      </rPr>
      <t>i</t>
    </r>
    <r>
      <rPr>
        <vertAlign val="subscript"/>
        <sz val="12"/>
        <rFont val="Arial"/>
        <family val="2"/>
      </rPr>
      <t>TSS_XPAO,PP</t>
    </r>
  </si>
  <si>
    <r>
      <t>q</t>
    </r>
    <r>
      <rPr>
        <vertAlign val="subscript"/>
        <sz val="12"/>
        <rFont val="Arial"/>
        <family val="2"/>
      </rPr>
      <t>PAO,PO4_PP</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O2,PAO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K</t>
    </r>
    <r>
      <rPr>
        <vertAlign val="subscript"/>
        <sz val="12"/>
        <rFont val="Arial"/>
        <family val="2"/>
      </rPr>
      <t>PO4,PAO,upt</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K</t>
    </r>
    <r>
      <rPr>
        <vertAlign val="subscript"/>
        <sz val="12"/>
        <rFont val="Arial"/>
        <family val="2"/>
      </rPr>
      <t>Alk,PAO</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X</t>
    </r>
    <r>
      <rPr>
        <vertAlign val="subscript"/>
        <sz val="12"/>
        <rFont val="Arial"/>
        <family val="2"/>
      </rPr>
      <t>PAO,PHA</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K</t>
    </r>
    <r>
      <rPr>
        <vertAlign val="subscript"/>
        <sz val="12"/>
        <rFont val="Arial"/>
        <family val="2"/>
      </rPr>
      <t>fPHA_PAO</t>
    </r>
    <r>
      <rPr>
        <sz val="12"/>
        <rFont val="Arial"/>
        <family val="2"/>
      </rPr>
      <t>+</t>
    </r>
    <r>
      <rPr>
        <i/>
        <sz val="12"/>
        <rFont val="Arial"/>
        <family val="2"/>
      </rPr>
      <t>X</t>
    </r>
    <r>
      <rPr>
        <vertAlign val="subscript"/>
        <sz val="12"/>
        <rFont val="Arial"/>
        <family val="2"/>
      </rPr>
      <t>PAO,PHA</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K</t>
    </r>
    <r>
      <rPr>
        <vertAlign val="subscript"/>
        <sz val="12"/>
        <rFont val="Arial"/>
        <family val="2"/>
      </rPr>
      <t>S,fPP_PAO</t>
    </r>
    <r>
      <rPr>
        <sz val="12"/>
        <rFont val="Arial"/>
        <family val="2"/>
      </rPr>
      <t>-(</t>
    </r>
    <r>
      <rPr>
        <i/>
        <sz val="12"/>
        <rFont val="Arial"/>
        <family val="2"/>
      </rPr>
      <t>X</t>
    </r>
    <r>
      <rPr>
        <vertAlign val="subscript"/>
        <sz val="12"/>
        <rFont val="Arial"/>
        <family val="2"/>
      </rPr>
      <t>PAO,PP</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K</t>
    </r>
    <r>
      <rPr>
        <vertAlign val="subscript"/>
        <sz val="12"/>
        <rFont val="Arial"/>
        <family val="2"/>
      </rPr>
      <t>I,fPP_PAO</t>
    </r>
    <r>
      <rPr>
        <sz val="12"/>
        <rFont val="Arial"/>
        <family val="2"/>
      </rPr>
      <t>+</t>
    </r>
    <r>
      <rPr>
        <i/>
        <sz val="12"/>
        <rFont val="Arial"/>
        <family val="2"/>
      </rPr>
      <t>K</t>
    </r>
    <r>
      <rPr>
        <vertAlign val="subscript"/>
        <sz val="12"/>
        <rFont val="Arial"/>
        <family val="2"/>
      </rPr>
      <t>S,fPP_PAO</t>
    </r>
    <r>
      <rPr>
        <sz val="12"/>
        <rFont val="Arial"/>
        <family val="2"/>
      </rPr>
      <t>-(</t>
    </r>
    <r>
      <rPr>
        <i/>
        <sz val="12"/>
        <rFont val="Arial"/>
        <family val="2"/>
      </rPr>
      <t>X</t>
    </r>
    <r>
      <rPr>
        <vertAlign val="subscript"/>
        <sz val="12"/>
        <rFont val="Arial"/>
        <family val="2"/>
      </rPr>
      <t>PAO,PP</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X</t>
    </r>
    <r>
      <rPr>
        <vertAlign val="subscript"/>
        <sz val="12"/>
        <rFont val="Arial"/>
        <family val="2"/>
      </rPr>
      <t>PAO</t>
    </r>
  </si>
  <si>
    <r>
      <t>Anoxic storage of X</t>
    </r>
    <r>
      <rPr>
        <b/>
        <vertAlign val="subscript"/>
        <sz val="11"/>
        <rFont val="Arial"/>
        <family val="2"/>
      </rPr>
      <t>PAO,PP</t>
    </r>
  </si>
  <si>
    <r>
      <t>-(1/</t>
    </r>
    <r>
      <rPr>
        <i/>
        <sz val="12"/>
        <rFont val="Arial"/>
        <family val="2"/>
      </rPr>
      <t>Y</t>
    </r>
    <r>
      <rPr>
        <vertAlign val="subscript"/>
        <sz val="12"/>
        <rFont val="Arial"/>
        <family val="2"/>
      </rPr>
      <t>PHA_PP</t>
    </r>
    <r>
      <rPr>
        <sz val="12"/>
        <rFont val="Arial"/>
        <family val="2"/>
      </rPr>
      <t>)/</t>
    </r>
    <r>
      <rPr>
        <i/>
        <sz val="12"/>
        <rFont val="Arial"/>
        <family val="2"/>
      </rPr>
      <t>i</t>
    </r>
    <r>
      <rPr>
        <vertAlign val="subscript"/>
        <sz val="12"/>
        <rFont val="Arial"/>
        <family val="2"/>
      </rPr>
      <t>NOx,N2</t>
    </r>
  </si>
  <si>
    <r>
      <t>(1/</t>
    </r>
    <r>
      <rPr>
        <i/>
        <sz val="12"/>
        <rFont val="Arial"/>
        <family val="2"/>
      </rPr>
      <t>Y</t>
    </r>
    <r>
      <rPr>
        <vertAlign val="subscript"/>
        <sz val="12"/>
        <rFont val="Arial"/>
        <family val="2"/>
      </rPr>
      <t>PHA_PP</t>
    </r>
    <r>
      <rPr>
        <sz val="12"/>
        <rFont val="Arial"/>
        <family val="2"/>
      </rPr>
      <t>)/</t>
    </r>
    <r>
      <rPr>
        <i/>
        <sz val="12"/>
        <rFont val="Arial"/>
        <family val="2"/>
      </rPr>
      <t>i</t>
    </r>
    <r>
      <rPr>
        <vertAlign val="subscript"/>
        <sz val="12"/>
        <rFont val="Arial"/>
        <family val="2"/>
      </rPr>
      <t>NOx,N2</t>
    </r>
  </si>
  <si>
    <r>
      <t>v</t>
    </r>
    <r>
      <rPr>
        <vertAlign val="subscript"/>
        <sz val="12"/>
        <rFont val="Arial"/>
        <family val="2"/>
      </rPr>
      <t>P03_SNOx</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v</t>
    </r>
    <r>
      <rPr>
        <vertAlign val="subscript"/>
        <sz val="12"/>
        <rFont val="Arial"/>
        <family val="2"/>
      </rPr>
      <t>P03_SPO4</t>
    </r>
    <r>
      <rPr>
        <sz val="12"/>
        <rFont val="Arial"/>
        <family val="2"/>
      </rPr>
      <t>*</t>
    </r>
    <r>
      <rPr>
        <i/>
        <sz val="12"/>
        <rFont val="Arial"/>
        <family val="2"/>
      </rPr>
      <t>i</t>
    </r>
    <r>
      <rPr>
        <vertAlign val="subscript"/>
        <sz val="12"/>
        <rFont val="Arial"/>
        <family val="2"/>
      </rPr>
      <t>Charge_PO4</t>
    </r>
    <r>
      <rPr>
        <sz val="12"/>
        <rFont val="Arial"/>
        <family val="2"/>
      </rPr>
      <t>+</t>
    </r>
    <r>
      <rPr>
        <i/>
        <sz val="12"/>
        <rFont val="Arial"/>
        <family val="2"/>
      </rPr>
      <t>v</t>
    </r>
    <r>
      <rPr>
        <vertAlign val="subscript"/>
        <sz val="12"/>
        <rFont val="Arial"/>
        <family val="2"/>
      </rPr>
      <t>P03_XPAO,PP</t>
    </r>
    <r>
      <rPr>
        <sz val="12"/>
        <rFont val="Arial"/>
        <family val="2"/>
      </rPr>
      <t>*</t>
    </r>
    <r>
      <rPr>
        <i/>
        <sz val="12"/>
        <rFont val="Arial"/>
        <family val="2"/>
      </rPr>
      <t>i</t>
    </r>
    <r>
      <rPr>
        <vertAlign val="subscript"/>
        <sz val="12"/>
        <rFont val="Arial"/>
        <family val="2"/>
      </rPr>
      <t>Charge_XPAO,PP</t>
    </r>
  </si>
  <si>
    <r>
      <t>q</t>
    </r>
    <r>
      <rPr>
        <vertAlign val="subscript"/>
        <sz val="12"/>
        <rFont val="Arial"/>
        <family val="2"/>
      </rPr>
      <t>PAO,PO4_PP</t>
    </r>
    <r>
      <rPr>
        <sz val="12"/>
        <rFont val="Arial"/>
        <family val="2"/>
      </rPr>
      <t>*</t>
    </r>
    <r>
      <rPr>
        <i/>
        <sz val="12"/>
        <rFont val="Arial"/>
        <family val="2"/>
      </rPr>
      <t>n</t>
    </r>
    <r>
      <rPr>
        <vertAlign val="subscript"/>
        <sz val="12"/>
        <rFont val="Arial"/>
        <family val="2"/>
      </rPr>
      <t>μPAO</t>
    </r>
    <r>
      <rPr>
        <sz val="12"/>
        <rFont val="Arial"/>
        <family val="2"/>
      </rPr>
      <t>*[</t>
    </r>
    <r>
      <rPr>
        <i/>
        <sz val="12"/>
        <rFont val="Arial"/>
        <family val="2"/>
      </rPr>
      <t>K</t>
    </r>
    <r>
      <rPr>
        <vertAlign val="subscript"/>
        <sz val="12"/>
        <rFont val="Arial"/>
        <family val="2"/>
      </rPr>
      <t>O2,PAO</t>
    </r>
    <r>
      <rPr>
        <sz val="12"/>
        <rFont val="Arial"/>
        <family val="2"/>
      </rPr>
      <t>/(</t>
    </r>
    <r>
      <rPr>
        <i/>
        <sz val="12"/>
        <rFont val="Arial"/>
        <family val="2"/>
      </rPr>
      <t>K</t>
    </r>
    <r>
      <rPr>
        <vertAlign val="subscript"/>
        <sz val="12"/>
        <rFont val="Arial"/>
        <family val="2"/>
      </rPr>
      <t>O2,PAO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K</t>
    </r>
    <r>
      <rPr>
        <vertAlign val="subscript"/>
        <sz val="12"/>
        <rFont val="Arial"/>
        <family val="2"/>
      </rPr>
      <t>NOx,PAO</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K</t>
    </r>
    <r>
      <rPr>
        <vertAlign val="subscript"/>
        <sz val="12"/>
        <rFont val="Arial"/>
        <family val="2"/>
      </rPr>
      <t>PO4,PAO,upt</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K</t>
    </r>
    <r>
      <rPr>
        <vertAlign val="subscript"/>
        <sz val="12"/>
        <rFont val="Arial"/>
        <family val="2"/>
      </rPr>
      <t>Alk,PAO</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X</t>
    </r>
    <r>
      <rPr>
        <vertAlign val="subscript"/>
        <sz val="12"/>
        <rFont val="Arial"/>
        <family val="2"/>
      </rPr>
      <t>PAO,PHA</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K</t>
    </r>
    <r>
      <rPr>
        <vertAlign val="subscript"/>
        <sz val="12"/>
        <rFont val="Arial"/>
        <family val="2"/>
      </rPr>
      <t>fPHA_PAO</t>
    </r>
    <r>
      <rPr>
        <sz val="12"/>
        <rFont val="Arial"/>
        <family val="2"/>
      </rPr>
      <t>+</t>
    </r>
    <r>
      <rPr>
        <i/>
        <sz val="12"/>
        <rFont val="Arial"/>
        <family val="2"/>
      </rPr>
      <t>X</t>
    </r>
    <r>
      <rPr>
        <vertAlign val="subscript"/>
        <sz val="12"/>
        <rFont val="Arial"/>
        <family val="2"/>
      </rPr>
      <t>PAO,PHA</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K</t>
    </r>
    <r>
      <rPr>
        <vertAlign val="subscript"/>
        <sz val="12"/>
        <rFont val="Arial"/>
        <family val="2"/>
      </rPr>
      <t>S,fPP_PAO</t>
    </r>
    <r>
      <rPr>
        <sz val="12"/>
        <rFont val="Arial"/>
        <family val="2"/>
      </rPr>
      <t>-(</t>
    </r>
    <r>
      <rPr>
        <i/>
        <sz val="12"/>
        <rFont val="Arial"/>
        <family val="2"/>
      </rPr>
      <t>X</t>
    </r>
    <r>
      <rPr>
        <vertAlign val="subscript"/>
        <sz val="12"/>
        <rFont val="Arial"/>
        <family val="2"/>
      </rPr>
      <t>PAO,PP</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K</t>
    </r>
    <r>
      <rPr>
        <vertAlign val="subscript"/>
        <sz val="12"/>
        <rFont val="Arial"/>
        <family val="2"/>
      </rPr>
      <t>I,fPP_PAO</t>
    </r>
    <r>
      <rPr>
        <sz val="12"/>
        <rFont val="Arial"/>
        <family val="2"/>
      </rPr>
      <t>+</t>
    </r>
    <r>
      <rPr>
        <i/>
        <sz val="12"/>
        <rFont val="Arial"/>
        <family val="2"/>
      </rPr>
      <t>K</t>
    </r>
    <r>
      <rPr>
        <vertAlign val="subscript"/>
        <sz val="12"/>
        <rFont val="Arial"/>
        <family val="2"/>
      </rPr>
      <t>S,fPP_PAO</t>
    </r>
    <r>
      <rPr>
        <sz val="12"/>
        <rFont val="Arial"/>
        <family val="2"/>
      </rPr>
      <t>-(</t>
    </r>
    <r>
      <rPr>
        <i/>
        <sz val="12"/>
        <rFont val="Arial"/>
        <family val="2"/>
      </rPr>
      <t>X</t>
    </r>
    <r>
      <rPr>
        <vertAlign val="subscript"/>
        <sz val="12"/>
        <rFont val="Arial"/>
        <family val="2"/>
      </rPr>
      <t>PAO,PP</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X</t>
    </r>
    <r>
      <rPr>
        <vertAlign val="subscript"/>
        <sz val="12"/>
        <rFont val="Arial"/>
        <family val="2"/>
      </rPr>
      <t>PAO</t>
    </r>
  </si>
  <si>
    <r>
      <t>Conversion factor for X</t>
    </r>
    <r>
      <rPr>
        <vertAlign val="subscript"/>
        <sz val="10"/>
        <color indexed="8"/>
        <rFont val="Arial"/>
        <family val="2"/>
      </rPr>
      <t>PAO,PP</t>
    </r>
    <r>
      <rPr>
        <sz val="10"/>
        <color indexed="8"/>
        <rFont val="Arial"/>
        <family val="2"/>
      </rPr>
      <t xml:space="preserve"> (K</t>
    </r>
    <r>
      <rPr>
        <vertAlign val="subscript"/>
        <sz val="10"/>
        <color indexed="8"/>
        <rFont val="Arial"/>
        <family val="2"/>
      </rPr>
      <t>0.33</t>
    </r>
    <r>
      <rPr>
        <sz val="10"/>
        <color indexed="8"/>
        <rFont val="Arial"/>
        <family val="2"/>
      </rPr>
      <t>Mg</t>
    </r>
    <r>
      <rPr>
        <vertAlign val="subscript"/>
        <sz val="10"/>
        <color indexed="8"/>
        <rFont val="Arial"/>
        <family val="2"/>
      </rPr>
      <t>0.33</t>
    </r>
    <r>
      <rPr>
        <sz val="10"/>
        <color indexed="8"/>
        <rFont val="Arial"/>
        <family val="2"/>
      </rPr>
      <t>PO</t>
    </r>
    <r>
      <rPr>
        <vertAlign val="subscript"/>
        <sz val="10"/>
        <color indexed="8"/>
        <rFont val="Arial"/>
        <family val="2"/>
      </rPr>
      <t>3</t>
    </r>
    <r>
      <rPr>
        <sz val="10"/>
        <color indexed="8"/>
        <rFont val="Arial"/>
        <family val="2"/>
      </rPr>
      <t>)</t>
    </r>
    <r>
      <rPr>
        <vertAlign val="subscript"/>
        <sz val="10"/>
        <color indexed="8"/>
        <rFont val="Arial"/>
        <family val="2"/>
      </rPr>
      <t>n</t>
    </r>
    <r>
      <rPr>
        <sz val="10"/>
        <color indexed="8"/>
        <rFont val="Arial"/>
        <family val="2"/>
      </rPr>
      <t xml:space="preserve"> in charge</t>
    </r>
  </si>
  <si>
    <r>
      <t>-(1-</t>
    </r>
    <r>
      <rPr>
        <i/>
        <sz val="12"/>
        <rFont val="Arial"/>
        <family val="2"/>
      </rPr>
      <t>Y</t>
    </r>
    <r>
      <rPr>
        <vertAlign val="subscript"/>
        <sz val="12"/>
        <rFont val="Arial"/>
        <family val="2"/>
      </rPr>
      <t>PAO,Ox</t>
    </r>
    <r>
      <rPr>
        <sz val="12"/>
        <rFont val="Arial"/>
        <family val="2"/>
      </rPr>
      <t>)/</t>
    </r>
    <r>
      <rPr>
        <i/>
        <sz val="12"/>
        <rFont val="Arial"/>
        <family val="2"/>
      </rPr>
      <t>Y</t>
    </r>
    <r>
      <rPr>
        <vertAlign val="subscript"/>
        <sz val="12"/>
        <rFont val="Arial"/>
        <family val="2"/>
      </rPr>
      <t>PAO,Ox</t>
    </r>
  </si>
  <si>
    <r>
      <t>v</t>
    </r>
    <r>
      <rPr>
        <vertAlign val="subscript"/>
        <sz val="12"/>
        <rFont val="Arial"/>
        <family val="2"/>
      </rPr>
      <t>P04_SNHx</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P04_SPO4</t>
    </r>
    <r>
      <rPr>
        <sz val="12"/>
        <rFont val="Arial"/>
        <family val="2"/>
      </rPr>
      <t>*</t>
    </r>
    <r>
      <rPr>
        <i/>
        <sz val="12"/>
        <rFont val="Arial"/>
        <family val="2"/>
      </rPr>
      <t>i</t>
    </r>
    <r>
      <rPr>
        <vertAlign val="subscript"/>
        <sz val="12"/>
        <rFont val="Arial"/>
        <family val="2"/>
      </rPr>
      <t>Charge_PO4</t>
    </r>
  </si>
  <si>
    <r>
      <t>-1/</t>
    </r>
    <r>
      <rPr>
        <i/>
        <sz val="12"/>
        <rFont val="Arial"/>
        <family val="2"/>
      </rPr>
      <t>Y</t>
    </r>
    <r>
      <rPr>
        <vertAlign val="subscript"/>
        <sz val="12"/>
        <rFont val="Arial"/>
        <family val="2"/>
      </rPr>
      <t>PAO,Ox</t>
    </r>
  </si>
  <si>
    <r>
      <t>-(1/</t>
    </r>
    <r>
      <rPr>
        <i/>
        <sz val="12"/>
        <rFont val="Arial"/>
        <family val="2"/>
      </rPr>
      <t>Y</t>
    </r>
    <r>
      <rPr>
        <vertAlign val="subscript"/>
        <sz val="12"/>
        <rFont val="Arial"/>
        <family val="2"/>
      </rPr>
      <t>PAO,Ox</t>
    </r>
    <r>
      <rPr>
        <sz val="12"/>
        <rFont val="Arial"/>
        <family val="2"/>
      </rPr>
      <t>)*</t>
    </r>
    <r>
      <rPr>
        <i/>
        <sz val="12"/>
        <rFont val="Arial"/>
        <family val="2"/>
      </rPr>
      <t>i</t>
    </r>
    <r>
      <rPr>
        <vertAlign val="subscript"/>
        <sz val="12"/>
        <rFont val="Arial"/>
        <family val="2"/>
      </rPr>
      <t>TSS_XOHO,Stor</t>
    </r>
    <r>
      <rPr>
        <sz val="12"/>
        <rFont val="Arial"/>
        <family val="2"/>
      </rPr>
      <t>+</t>
    </r>
    <r>
      <rPr>
        <i/>
        <sz val="12"/>
        <rFont val="Arial"/>
        <family val="2"/>
      </rPr>
      <t>i</t>
    </r>
    <r>
      <rPr>
        <vertAlign val="subscript"/>
        <sz val="12"/>
        <rFont val="Arial"/>
        <family val="2"/>
      </rPr>
      <t>TSS_XBio</t>
    </r>
  </si>
  <si>
    <r>
      <t>μ</t>
    </r>
    <r>
      <rPr>
        <vertAlign val="subscript"/>
        <sz val="12"/>
        <rFont val="Arial"/>
        <family val="2"/>
      </rPr>
      <t>PAO,Max</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O2,PAO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NHX</t>
    </r>
    <r>
      <rPr>
        <sz val="12"/>
        <rFont val="Arial"/>
        <family val="2"/>
      </rPr>
      <t>/(</t>
    </r>
    <r>
      <rPr>
        <i/>
        <sz val="12"/>
        <rFont val="Arial"/>
        <family val="2"/>
      </rPr>
      <t>K</t>
    </r>
    <r>
      <rPr>
        <vertAlign val="subscript"/>
        <sz val="12"/>
        <rFont val="Arial"/>
        <family val="2"/>
      </rPr>
      <t>NHx,PAO</t>
    </r>
    <r>
      <rPr>
        <sz val="12"/>
        <rFont val="Arial"/>
        <family val="2"/>
      </rPr>
      <t>+</t>
    </r>
    <r>
      <rPr>
        <i/>
        <sz val="12"/>
        <rFont val="Arial"/>
        <family val="2"/>
      </rPr>
      <t>S</t>
    </r>
    <r>
      <rPr>
        <vertAlign val="subscript"/>
        <sz val="12"/>
        <rFont val="Arial"/>
        <family val="2"/>
      </rPr>
      <t>NHX</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K</t>
    </r>
    <r>
      <rPr>
        <vertAlign val="subscript"/>
        <sz val="12"/>
        <rFont val="Arial"/>
        <family val="2"/>
      </rPr>
      <t>PO4,PAO,nut</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K</t>
    </r>
    <r>
      <rPr>
        <vertAlign val="subscript"/>
        <sz val="12"/>
        <rFont val="Arial"/>
        <family val="2"/>
      </rPr>
      <t>Alk,PAO</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X</t>
    </r>
    <r>
      <rPr>
        <vertAlign val="subscript"/>
        <sz val="12"/>
        <rFont val="Arial"/>
        <family val="2"/>
      </rPr>
      <t>PAO,PHA</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K</t>
    </r>
    <r>
      <rPr>
        <vertAlign val="subscript"/>
        <sz val="12"/>
        <rFont val="Arial"/>
        <family val="2"/>
      </rPr>
      <t>fPHA_PAO</t>
    </r>
    <r>
      <rPr>
        <sz val="12"/>
        <rFont val="Arial"/>
        <family val="2"/>
      </rPr>
      <t>+</t>
    </r>
    <r>
      <rPr>
        <i/>
        <sz val="12"/>
        <rFont val="Arial"/>
        <family val="2"/>
      </rPr>
      <t>X</t>
    </r>
    <r>
      <rPr>
        <vertAlign val="subscript"/>
        <sz val="12"/>
        <rFont val="Arial"/>
        <family val="2"/>
      </rPr>
      <t>PAO,PHA</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X</t>
    </r>
    <r>
      <rPr>
        <vertAlign val="subscript"/>
        <sz val="12"/>
        <rFont val="Arial"/>
        <family val="2"/>
      </rPr>
      <t>PAO</t>
    </r>
  </si>
  <si>
    <r>
      <t>Conversion factor for PO</t>
    </r>
    <r>
      <rPr>
        <vertAlign val="subscript"/>
        <sz val="10"/>
        <color indexed="8"/>
        <rFont val="Arial"/>
        <family val="2"/>
      </rPr>
      <t>4</t>
    </r>
    <r>
      <rPr>
        <sz val="10"/>
        <color indexed="8"/>
        <rFont val="Arial"/>
        <family val="2"/>
      </rPr>
      <t xml:space="preserve"> in charge</t>
    </r>
  </si>
  <si>
    <r>
      <t>-(1-</t>
    </r>
    <r>
      <rPr>
        <i/>
        <sz val="12"/>
        <rFont val="Arial"/>
        <family val="2"/>
      </rPr>
      <t>Y</t>
    </r>
    <r>
      <rPr>
        <vertAlign val="subscript"/>
        <sz val="12"/>
        <rFont val="Arial"/>
        <family val="2"/>
      </rPr>
      <t>PAO,Ax</t>
    </r>
    <r>
      <rPr>
        <sz val="12"/>
        <rFont val="Arial"/>
        <family val="2"/>
      </rPr>
      <t>)/</t>
    </r>
    <r>
      <rPr>
        <i/>
        <sz val="12"/>
        <rFont val="Arial"/>
        <family val="2"/>
      </rPr>
      <t>Y</t>
    </r>
    <r>
      <rPr>
        <vertAlign val="subscript"/>
        <sz val="12"/>
        <rFont val="Arial"/>
        <family val="2"/>
      </rPr>
      <t>PAO,Ax</t>
    </r>
    <r>
      <rPr>
        <sz val="12"/>
        <rFont val="Arial"/>
        <family val="2"/>
      </rPr>
      <t>*(1/</t>
    </r>
    <r>
      <rPr>
        <i/>
        <sz val="12"/>
        <rFont val="Arial"/>
        <family val="2"/>
      </rPr>
      <t>i</t>
    </r>
    <r>
      <rPr>
        <vertAlign val="subscript"/>
        <sz val="12"/>
        <rFont val="Arial"/>
        <family val="2"/>
      </rPr>
      <t>NOx,N2</t>
    </r>
    <r>
      <rPr>
        <sz val="12"/>
        <rFont val="Arial"/>
        <family val="2"/>
      </rPr>
      <t>)</t>
    </r>
  </si>
  <si>
    <r>
      <t>(1-</t>
    </r>
    <r>
      <rPr>
        <i/>
        <sz val="12"/>
        <rFont val="Arial"/>
        <family val="2"/>
      </rPr>
      <t>Y</t>
    </r>
    <r>
      <rPr>
        <vertAlign val="subscript"/>
        <sz val="12"/>
        <rFont val="Arial"/>
        <family val="2"/>
      </rPr>
      <t>PAO,Ax</t>
    </r>
    <r>
      <rPr>
        <sz val="12"/>
        <rFont val="Arial"/>
        <family val="2"/>
      </rPr>
      <t>)/</t>
    </r>
    <r>
      <rPr>
        <i/>
        <sz val="12"/>
        <rFont val="Arial"/>
        <family val="2"/>
      </rPr>
      <t>Y</t>
    </r>
    <r>
      <rPr>
        <vertAlign val="subscript"/>
        <sz val="12"/>
        <rFont val="Arial"/>
        <family val="2"/>
      </rPr>
      <t>PAO,Ax</t>
    </r>
    <r>
      <rPr>
        <sz val="12"/>
        <rFont val="Arial"/>
        <family val="2"/>
      </rPr>
      <t>*(1/</t>
    </r>
    <r>
      <rPr>
        <i/>
        <sz val="12"/>
        <rFont val="Arial"/>
        <family val="2"/>
      </rPr>
      <t>i</t>
    </r>
    <r>
      <rPr>
        <vertAlign val="subscript"/>
        <sz val="12"/>
        <rFont val="Arial"/>
        <family val="2"/>
      </rPr>
      <t>NOx,N2</t>
    </r>
    <r>
      <rPr>
        <sz val="12"/>
        <rFont val="Arial"/>
        <family val="2"/>
      </rPr>
      <t>)</t>
    </r>
  </si>
  <si>
    <r>
      <t>v</t>
    </r>
    <r>
      <rPr>
        <vertAlign val="subscript"/>
        <sz val="12"/>
        <rFont val="Arial"/>
        <family val="2"/>
      </rPr>
      <t>P05_SNHx</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P05_SNOx</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v</t>
    </r>
    <r>
      <rPr>
        <vertAlign val="subscript"/>
        <sz val="12"/>
        <rFont val="Arial"/>
        <family val="2"/>
      </rPr>
      <t>P05_SPO4</t>
    </r>
    <r>
      <rPr>
        <sz val="12"/>
        <rFont val="Arial"/>
        <family val="2"/>
      </rPr>
      <t>*</t>
    </r>
    <r>
      <rPr>
        <i/>
        <sz val="12"/>
        <rFont val="Arial"/>
        <family val="2"/>
      </rPr>
      <t>i</t>
    </r>
    <r>
      <rPr>
        <vertAlign val="subscript"/>
        <sz val="12"/>
        <rFont val="Arial"/>
        <family val="2"/>
      </rPr>
      <t>Charge_PO4</t>
    </r>
  </si>
  <si>
    <r>
      <t>-1/</t>
    </r>
    <r>
      <rPr>
        <i/>
        <sz val="12"/>
        <rFont val="Arial"/>
        <family val="2"/>
      </rPr>
      <t>Y</t>
    </r>
    <r>
      <rPr>
        <vertAlign val="subscript"/>
        <sz val="12"/>
        <rFont val="Arial"/>
        <family val="2"/>
      </rPr>
      <t>PAO,Ax</t>
    </r>
  </si>
  <si>
    <r>
      <t>-(1/</t>
    </r>
    <r>
      <rPr>
        <i/>
        <sz val="12"/>
        <rFont val="Arial"/>
        <family val="2"/>
      </rPr>
      <t>Y</t>
    </r>
    <r>
      <rPr>
        <vertAlign val="subscript"/>
        <sz val="12"/>
        <rFont val="Arial"/>
        <family val="2"/>
      </rPr>
      <t>PAO,Ax</t>
    </r>
    <r>
      <rPr>
        <sz val="12"/>
        <rFont val="Arial"/>
        <family val="2"/>
      </rPr>
      <t>)*</t>
    </r>
    <r>
      <rPr>
        <i/>
        <sz val="12"/>
        <rFont val="Arial"/>
        <family val="2"/>
      </rPr>
      <t>i</t>
    </r>
    <r>
      <rPr>
        <vertAlign val="subscript"/>
        <sz val="12"/>
        <rFont val="Arial"/>
        <family val="2"/>
      </rPr>
      <t>TSS_XOHO,Stor</t>
    </r>
    <r>
      <rPr>
        <sz val="12"/>
        <rFont val="Arial"/>
        <family val="2"/>
      </rPr>
      <t>+</t>
    </r>
    <r>
      <rPr>
        <i/>
        <sz val="12"/>
        <rFont val="Arial"/>
        <family val="2"/>
      </rPr>
      <t>i</t>
    </r>
    <r>
      <rPr>
        <vertAlign val="subscript"/>
        <sz val="12"/>
        <rFont val="Arial"/>
        <family val="2"/>
      </rPr>
      <t>TSS_XBio</t>
    </r>
  </si>
  <si>
    <r>
      <t>μ</t>
    </r>
    <r>
      <rPr>
        <vertAlign val="subscript"/>
        <sz val="12"/>
        <rFont val="Arial"/>
        <family val="2"/>
      </rPr>
      <t>PAO,Max</t>
    </r>
    <r>
      <rPr>
        <sz val="12"/>
        <rFont val="Arial"/>
        <family val="2"/>
      </rPr>
      <t>*</t>
    </r>
    <r>
      <rPr>
        <i/>
        <sz val="12"/>
        <rFont val="Arial"/>
        <family val="2"/>
      </rPr>
      <t>n</t>
    </r>
    <r>
      <rPr>
        <vertAlign val="subscript"/>
        <sz val="12"/>
        <rFont val="Arial"/>
        <family val="2"/>
      </rPr>
      <t>μPAO</t>
    </r>
    <r>
      <rPr>
        <sz val="12"/>
        <rFont val="Arial"/>
        <family val="2"/>
      </rPr>
      <t>*[</t>
    </r>
    <r>
      <rPr>
        <i/>
        <sz val="12"/>
        <rFont val="Arial"/>
        <family val="2"/>
      </rPr>
      <t>K</t>
    </r>
    <r>
      <rPr>
        <vertAlign val="subscript"/>
        <sz val="12"/>
        <rFont val="Arial"/>
        <family val="2"/>
      </rPr>
      <t>O2,PAO</t>
    </r>
    <r>
      <rPr>
        <sz val="12"/>
        <rFont val="Arial"/>
        <family val="2"/>
      </rPr>
      <t>/(</t>
    </r>
    <r>
      <rPr>
        <i/>
        <sz val="12"/>
        <rFont val="Arial"/>
        <family val="2"/>
      </rPr>
      <t>K</t>
    </r>
    <r>
      <rPr>
        <vertAlign val="subscript"/>
        <sz val="12"/>
        <rFont val="Arial"/>
        <family val="2"/>
      </rPr>
      <t>O2,PAO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K</t>
    </r>
    <r>
      <rPr>
        <vertAlign val="subscript"/>
        <sz val="12"/>
        <rFont val="Arial"/>
        <family val="2"/>
      </rPr>
      <t>NOx,PAO</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S</t>
    </r>
    <r>
      <rPr>
        <vertAlign val="subscript"/>
        <sz val="12"/>
        <rFont val="Arial"/>
        <family val="2"/>
      </rPr>
      <t>NHX</t>
    </r>
    <r>
      <rPr>
        <sz val="12"/>
        <rFont val="Arial"/>
        <family val="2"/>
      </rPr>
      <t>/(</t>
    </r>
    <r>
      <rPr>
        <i/>
        <sz val="12"/>
        <rFont val="Arial"/>
        <family val="2"/>
      </rPr>
      <t>K</t>
    </r>
    <r>
      <rPr>
        <vertAlign val="subscript"/>
        <sz val="12"/>
        <rFont val="Arial"/>
        <family val="2"/>
      </rPr>
      <t>NHx,PAO</t>
    </r>
    <r>
      <rPr>
        <sz val="12"/>
        <rFont val="Arial"/>
        <family val="2"/>
      </rPr>
      <t>+</t>
    </r>
    <r>
      <rPr>
        <i/>
        <sz val="12"/>
        <rFont val="Arial"/>
        <family val="2"/>
      </rPr>
      <t>S</t>
    </r>
    <r>
      <rPr>
        <vertAlign val="subscript"/>
        <sz val="12"/>
        <rFont val="Arial"/>
        <family val="2"/>
      </rPr>
      <t>NHX</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K</t>
    </r>
    <r>
      <rPr>
        <vertAlign val="subscript"/>
        <sz val="12"/>
        <rFont val="Arial"/>
        <family val="2"/>
      </rPr>
      <t>PO4,PAO,nut</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K</t>
    </r>
    <r>
      <rPr>
        <vertAlign val="subscript"/>
        <sz val="12"/>
        <rFont val="Arial"/>
        <family val="2"/>
      </rPr>
      <t>Alk,PAO</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X</t>
    </r>
    <r>
      <rPr>
        <vertAlign val="subscript"/>
        <sz val="12"/>
        <rFont val="Arial"/>
        <family val="2"/>
      </rPr>
      <t>PAO,PHA</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K</t>
    </r>
    <r>
      <rPr>
        <vertAlign val="subscript"/>
        <sz val="12"/>
        <rFont val="Arial"/>
        <family val="2"/>
      </rPr>
      <t>fPHA_PAO</t>
    </r>
    <r>
      <rPr>
        <sz val="12"/>
        <rFont val="Arial"/>
        <family val="2"/>
      </rPr>
      <t>+</t>
    </r>
    <r>
      <rPr>
        <i/>
        <sz val="12"/>
        <rFont val="Arial"/>
        <family val="2"/>
      </rPr>
      <t>X</t>
    </r>
    <r>
      <rPr>
        <vertAlign val="subscript"/>
        <sz val="12"/>
        <rFont val="Arial"/>
        <family val="2"/>
      </rPr>
      <t>PAO,PHA</t>
    </r>
    <r>
      <rPr>
        <sz val="12"/>
        <rFont val="Arial"/>
        <family val="2"/>
      </rPr>
      <t>/</t>
    </r>
    <r>
      <rPr>
        <i/>
        <sz val="12"/>
        <rFont val="Arial"/>
        <family val="2"/>
      </rPr>
      <t>X</t>
    </r>
    <r>
      <rPr>
        <vertAlign val="subscript"/>
        <sz val="12"/>
        <rFont val="Arial"/>
        <family val="2"/>
      </rPr>
      <t>PAO</t>
    </r>
    <r>
      <rPr>
        <sz val="12"/>
        <rFont val="Arial"/>
        <family val="2"/>
      </rPr>
      <t>)]*</t>
    </r>
    <r>
      <rPr>
        <i/>
        <sz val="12"/>
        <rFont val="Arial"/>
        <family val="2"/>
      </rPr>
      <t>X</t>
    </r>
    <r>
      <rPr>
        <vertAlign val="subscript"/>
        <sz val="12"/>
        <rFont val="Arial"/>
        <family val="2"/>
      </rPr>
      <t>PAO</t>
    </r>
  </si>
  <si>
    <r>
      <t>-</t>
    </r>
    <r>
      <rPr>
        <i/>
        <sz val="12"/>
        <rFont val="Arial"/>
        <family val="2"/>
      </rPr>
      <t>f</t>
    </r>
    <r>
      <rPr>
        <vertAlign val="subscript"/>
        <sz val="12"/>
        <rFont val="Arial"/>
        <family val="2"/>
      </rPr>
      <t>XU_Bio,lys</t>
    </r>
    <r>
      <rPr>
        <sz val="12"/>
        <rFont val="Arial"/>
        <family val="2"/>
      </rPr>
      <t>*</t>
    </r>
    <r>
      <rPr>
        <i/>
        <sz val="12"/>
        <rFont val="Arial"/>
        <family val="2"/>
      </rPr>
      <t>i</t>
    </r>
    <r>
      <rPr>
        <vertAlign val="subscript"/>
        <sz val="12"/>
        <rFont val="Arial"/>
        <family val="2"/>
      </rPr>
      <t>P_XU</t>
    </r>
    <r>
      <rPr>
        <sz val="12"/>
        <rFont val="Arial"/>
        <family val="2"/>
      </rPr>
      <t>+</t>
    </r>
    <r>
      <rPr>
        <i/>
        <sz val="12"/>
        <rFont val="Arial"/>
        <family val="2"/>
      </rPr>
      <t>i</t>
    </r>
    <r>
      <rPr>
        <vertAlign val="subscript"/>
        <sz val="12"/>
        <rFont val="Arial"/>
        <family val="2"/>
      </rPr>
      <t>P_XBio</t>
    </r>
  </si>
  <si>
    <r>
      <t>v</t>
    </r>
    <r>
      <rPr>
        <vertAlign val="subscript"/>
        <sz val="12"/>
        <rFont val="Arial"/>
        <family val="2"/>
      </rPr>
      <t>P06_SNHx</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P06_SPO4</t>
    </r>
    <r>
      <rPr>
        <sz val="12"/>
        <rFont val="Arial"/>
        <family val="2"/>
      </rPr>
      <t>*</t>
    </r>
    <r>
      <rPr>
        <i/>
        <sz val="12"/>
        <rFont val="Arial"/>
        <family val="2"/>
      </rPr>
      <t>i</t>
    </r>
    <r>
      <rPr>
        <vertAlign val="subscript"/>
        <sz val="12"/>
        <rFont val="Arial"/>
        <family val="2"/>
      </rPr>
      <t>Charge_PO4</t>
    </r>
  </si>
  <si>
    <r>
      <t>m</t>
    </r>
    <r>
      <rPr>
        <vertAlign val="subscript"/>
        <sz val="12"/>
        <rFont val="Arial"/>
        <family val="2"/>
      </rPr>
      <t>PAO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O2,PAO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X</t>
    </r>
    <r>
      <rPr>
        <vertAlign val="subscript"/>
        <sz val="12"/>
        <rFont val="Arial"/>
        <family val="2"/>
      </rPr>
      <t>PAO</t>
    </r>
  </si>
  <si>
    <r>
      <t>-(1-</t>
    </r>
    <r>
      <rPr>
        <i/>
        <sz val="12"/>
        <rFont val="Arial"/>
        <family val="2"/>
      </rPr>
      <t>f</t>
    </r>
    <r>
      <rPr>
        <vertAlign val="subscript"/>
        <sz val="12"/>
        <rFont val="Arial"/>
        <family val="2"/>
      </rPr>
      <t>XU_Bio,lys</t>
    </r>
    <r>
      <rPr>
        <sz val="12"/>
        <rFont val="Arial"/>
        <family val="2"/>
      </rPr>
      <t>)/</t>
    </r>
    <r>
      <rPr>
        <i/>
        <sz val="12"/>
        <rFont val="Arial"/>
        <family val="2"/>
      </rPr>
      <t>i</t>
    </r>
    <r>
      <rPr>
        <vertAlign val="subscript"/>
        <sz val="12"/>
        <rFont val="Arial"/>
        <family val="2"/>
      </rPr>
      <t>NOx,N2</t>
    </r>
  </si>
  <si>
    <r>
      <t>(1-</t>
    </r>
    <r>
      <rPr>
        <i/>
        <sz val="12"/>
        <rFont val="Arial"/>
        <family val="2"/>
      </rPr>
      <t>f</t>
    </r>
    <r>
      <rPr>
        <vertAlign val="subscript"/>
        <sz val="12"/>
        <rFont val="Arial"/>
        <family val="2"/>
      </rPr>
      <t>XU_Bio,lys</t>
    </r>
    <r>
      <rPr>
        <sz val="12"/>
        <rFont val="Arial"/>
        <family val="2"/>
      </rPr>
      <t>)/</t>
    </r>
    <r>
      <rPr>
        <i/>
        <sz val="12"/>
        <rFont val="Arial"/>
        <family val="2"/>
      </rPr>
      <t>i</t>
    </r>
    <r>
      <rPr>
        <vertAlign val="subscript"/>
        <sz val="12"/>
        <rFont val="Arial"/>
        <family val="2"/>
      </rPr>
      <t>NOx,N2</t>
    </r>
  </si>
  <si>
    <r>
      <t>v</t>
    </r>
    <r>
      <rPr>
        <vertAlign val="subscript"/>
        <sz val="12"/>
        <rFont val="Arial"/>
        <family val="2"/>
      </rPr>
      <t>P07_SNHx</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P07_SNOx</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v</t>
    </r>
    <r>
      <rPr>
        <vertAlign val="subscript"/>
        <sz val="12"/>
        <rFont val="Arial"/>
        <family val="2"/>
      </rPr>
      <t>P07_SPO4</t>
    </r>
    <r>
      <rPr>
        <sz val="12"/>
        <rFont val="Arial"/>
        <family val="2"/>
      </rPr>
      <t>*</t>
    </r>
    <r>
      <rPr>
        <i/>
        <sz val="12"/>
        <rFont val="Arial"/>
        <family val="2"/>
      </rPr>
      <t>i</t>
    </r>
    <r>
      <rPr>
        <vertAlign val="subscript"/>
        <sz val="12"/>
        <rFont val="Arial"/>
        <family val="2"/>
      </rPr>
      <t>Charge_PO4</t>
    </r>
  </si>
  <si>
    <r>
      <t>m</t>
    </r>
    <r>
      <rPr>
        <vertAlign val="subscript"/>
        <sz val="12"/>
        <rFont val="Arial"/>
        <family val="2"/>
      </rPr>
      <t>PAO</t>
    </r>
    <r>
      <rPr>
        <sz val="12"/>
        <rFont val="Arial"/>
        <family val="2"/>
      </rPr>
      <t>*</t>
    </r>
    <r>
      <rPr>
        <i/>
        <sz val="12"/>
        <rFont val="Arial"/>
        <family val="2"/>
      </rPr>
      <t>n</t>
    </r>
    <r>
      <rPr>
        <vertAlign val="subscript"/>
        <sz val="12"/>
        <rFont val="Arial"/>
        <family val="2"/>
      </rPr>
      <t>mPAO</t>
    </r>
    <r>
      <rPr>
        <sz val="12"/>
        <rFont val="Arial"/>
        <family val="2"/>
      </rPr>
      <t>*[</t>
    </r>
    <r>
      <rPr>
        <i/>
        <sz val="12"/>
        <rFont val="Arial"/>
        <family val="2"/>
      </rPr>
      <t>K</t>
    </r>
    <r>
      <rPr>
        <vertAlign val="subscript"/>
        <sz val="12"/>
        <rFont val="Arial"/>
        <family val="2"/>
      </rPr>
      <t>O2,PAO</t>
    </r>
    <r>
      <rPr>
        <sz val="12"/>
        <rFont val="Arial"/>
        <family val="2"/>
      </rPr>
      <t>/(</t>
    </r>
    <r>
      <rPr>
        <i/>
        <sz val="12"/>
        <rFont val="Arial"/>
        <family val="2"/>
      </rPr>
      <t>K</t>
    </r>
    <r>
      <rPr>
        <vertAlign val="subscript"/>
        <sz val="12"/>
        <rFont val="Arial"/>
        <family val="2"/>
      </rPr>
      <t>O2,PAO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K</t>
    </r>
    <r>
      <rPr>
        <vertAlign val="subscript"/>
        <sz val="12"/>
        <rFont val="Arial"/>
        <family val="2"/>
      </rPr>
      <t>NOx,PAO</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X</t>
    </r>
    <r>
      <rPr>
        <vertAlign val="subscript"/>
        <sz val="12"/>
        <rFont val="Arial"/>
        <family val="2"/>
      </rPr>
      <t>PAO</t>
    </r>
  </si>
  <si>
    <r>
      <t>Aerobic decay of X</t>
    </r>
    <r>
      <rPr>
        <b/>
        <vertAlign val="subscript"/>
        <sz val="11"/>
        <rFont val="Arial"/>
        <family val="2"/>
      </rPr>
      <t>PAO,PP</t>
    </r>
  </si>
  <si>
    <r>
      <t>v</t>
    </r>
    <r>
      <rPr>
        <vertAlign val="subscript"/>
        <sz val="12"/>
        <rFont val="Arial"/>
        <family val="2"/>
      </rPr>
      <t>P08_SPO4</t>
    </r>
    <r>
      <rPr>
        <sz val="12"/>
        <rFont val="Arial"/>
        <family val="2"/>
      </rPr>
      <t>*</t>
    </r>
    <r>
      <rPr>
        <i/>
        <sz val="12"/>
        <rFont val="Arial"/>
        <family val="2"/>
      </rPr>
      <t>i</t>
    </r>
    <r>
      <rPr>
        <vertAlign val="subscript"/>
        <sz val="12"/>
        <rFont val="Arial"/>
        <family val="2"/>
      </rPr>
      <t>Charge_PO4</t>
    </r>
    <r>
      <rPr>
        <sz val="12"/>
        <rFont val="Arial"/>
        <family val="2"/>
      </rPr>
      <t>+</t>
    </r>
    <r>
      <rPr>
        <i/>
        <sz val="12"/>
        <rFont val="Arial"/>
        <family val="2"/>
      </rPr>
      <t>v</t>
    </r>
    <r>
      <rPr>
        <vertAlign val="subscript"/>
        <sz val="12"/>
        <rFont val="Arial"/>
        <family val="2"/>
      </rPr>
      <t>P08_XPAO,PP</t>
    </r>
    <r>
      <rPr>
        <sz val="12"/>
        <rFont val="Arial"/>
        <family val="2"/>
      </rPr>
      <t>*</t>
    </r>
    <r>
      <rPr>
        <i/>
        <sz val="12"/>
        <rFont val="Arial"/>
        <family val="2"/>
      </rPr>
      <t>i</t>
    </r>
    <r>
      <rPr>
        <vertAlign val="subscript"/>
        <sz val="12"/>
        <rFont val="Arial"/>
        <family val="2"/>
      </rPr>
      <t>Charge_XPAO,PP</t>
    </r>
  </si>
  <si>
    <r>
      <t>-</t>
    </r>
    <r>
      <rPr>
        <i/>
        <sz val="12"/>
        <rFont val="Arial"/>
        <family val="2"/>
      </rPr>
      <t>i</t>
    </r>
    <r>
      <rPr>
        <vertAlign val="subscript"/>
        <sz val="12"/>
        <rFont val="Arial"/>
        <family val="2"/>
      </rPr>
      <t>TSS_XPAO,PP</t>
    </r>
  </si>
  <si>
    <r>
      <t>b</t>
    </r>
    <r>
      <rPr>
        <vertAlign val="subscript"/>
        <sz val="12"/>
        <rFont val="Arial"/>
        <family val="2"/>
      </rPr>
      <t>PP_PO4</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O2,PAO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K</t>
    </r>
    <r>
      <rPr>
        <vertAlign val="subscript"/>
        <sz val="12"/>
        <rFont val="Arial"/>
        <family val="2"/>
      </rPr>
      <t>Alk,PAO</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X</t>
    </r>
    <r>
      <rPr>
        <vertAlign val="subscript"/>
        <sz val="12"/>
        <rFont val="Arial"/>
        <family val="2"/>
      </rPr>
      <t>PAO,PP</t>
    </r>
  </si>
  <si>
    <r>
      <t>Anoxic decay of X</t>
    </r>
    <r>
      <rPr>
        <b/>
        <vertAlign val="subscript"/>
        <sz val="11"/>
        <rFont val="Arial"/>
        <family val="2"/>
      </rPr>
      <t>PAO,PP</t>
    </r>
  </si>
  <si>
    <r>
      <t>b</t>
    </r>
    <r>
      <rPr>
        <vertAlign val="subscript"/>
        <sz val="12"/>
        <rFont val="Arial"/>
        <family val="2"/>
      </rPr>
      <t>PP_PO4</t>
    </r>
    <r>
      <rPr>
        <sz val="12"/>
        <rFont val="Arial"/>
        <family val="2"/>
      </rPr>
      <t>*</t>
    </r>
    <r>
      <rPr>
        <i/>
        <sz val="12"/>
        <rFont val="Arial"/>
        <family val="2"/>
      </rPr>
      <t>n</t>
    </r>
    <r>
      <rPr>
        <vertAlign val="subscript"/>
        <sz val="12"/>
        <rFont val="Arial"/>
        <family val="2"/>
      </rPr>
      <t>bPP_PO4</t>
    </r>
    <r>
      <rPr>
        <sz val="12"/>
        <rFont val="Arial"/>
        <family val="2"/>
      </rPr>
      <t>*[</t>
    </r>
    <r>
      <rPr>
        <i/>
        <sz val="12"/>
        <rFont val="Arial"/>
        <family val="2"/>
      </rPr>
      <t>K</t>
    </r>
    <r>
      <rPr>
        <vertAlign val="subscript"/>
        <sz val="12"/>
        <rFont val="Arial"/>
        <family val="2"/>
      </rPr>
      <t>O2,PAO</t>
    </r>
    <r>
      <rPr>
        <sz val="12"/>
        <rFont val="Arial"/>
        <family val="2"/>
      </rPr>
      <t>/(</t>
    </r>
    <r>
      <rPr>
        <i/>
        <sz val="12"/>
        <rFont val="Arial"/>
        <family val="2"/>
      </rPr>
      <t>K</t>
    </r>
    <r>
      <rPr>
        <vertAlign val="subscript"/>
        <sz val="12"/>
        <rFont val="Arial"/>
        <family val="2"/>
      </rPr>
      <t>O2,PAO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K</t>
    </r>
    <r>
      <rPr>
        <vertAlign val="subscript"/>
        <sz val="12"/>
        <rFont val="Arial"/>
        <family val="2"/>
      </rPr>
      <t>NOx,PAO</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K</t>
    </r>
    <r>
      <rPr>
        <vertAlign val="subscript"/>
        <sz val="12"/>
        <rFont val="Arial"/>
        <family val="2"/>
      </rPr>
      <t>Alk,PAO</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X</t>
    </r>
    <r>
      <rPr>
        <vertAlign val="subscript"/>
        <sz val="12"/>
        <rFont val="Arial"/>
        <family val="2"/>
      </rPr>
      <t>PAO,PP</t>
    </r>
  </si>
  <si>
    <r>
      <t>Aerobic respiration of X</t>
    </r>
    <r>
      <rPr>
        <b/>
        <vertAlign val="subscript"/>
        <sz val="11"/>
        <rFont val="Arial"/>
        <family val="2"/>
      </rPr>
      <t>PAO,PHA</t>
    </r>
  </si>
  <si>
    <r>
      <t>b</t>
    </r>
    <r>
      <rPr>
        <vertAlign val="subscript"/>
        <sz val="12"/>
        <rFont val="Arial"/>
        <family val="2"/>
      </rPr>
      <t>PHA_Ac</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O2,PAO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X</t>
    </r>
    <r>
      <rPr>
        <vertAlign val="subscript"/>
        <sz val="12"/>
        <rFont val="Arial"/>
        <family val="2"/>
      </rPr>
      <t>PAO,PHA</t>
    </r>
  </si>
  <si>
    <r>
      <t>Anoxic respiration of X</t>
    </r>
    <r>
      <rPr>
        <b/>
        <vertAlign val="subscript"/>
        <sz val="11"/>
        <rFont val="Arial"/>
        <family val="2"/>
      </rPr>
      <t>PAO,PHA</t>
    </r>
  </si>
  <si>
    <r>
      <t>v</t>
    </r>
    <r>
      <rPr>
        <vertAlign val="subscript"/>
        <sz val="12"/>
        <rFont val="Arial"/>
        <family val="2"/>
      </rPr>
      <t>P11_SNOx</t>
    </r>
    <r>
      <rPr>
        <sz val="12"/>
        <rFont val="Arial"/>
        <family val="2"/>
      </rPr>
      <t>*</t>
    </r>
    <r>
      <rPr>
        <i/>
        <sz val="12"/>
        <rFont val="Arial"/>
        <family val="2"/>
      </rPr>
      <t>i</t>
    </r>
    <r>
      <rPr>
        <vertAlign val="subscript"/>
        <sz val="12"/>
        <rFont val="Arial"/>
        <family val="2"/>
      </rPr>
      <t>Charge_NOx</t>
    </r>
  </si>
  <si>
    <r>
      <t>b</t>
    </r>
    <r>
      <rPr>
        <vertAlign val="subscript"/>
        <sz val="12"/>
        <rFont val="Arial"/>
        <family val="2"/>
      </rPr>
      <t>PHA_Ac</t>
    </r>
    <r>
      <rPr>
        <sz val="12"/>
        <rFont val="Arial"/>
        <family val="2"/>
      </rPr>
      <t>*</t>
    </r>
    <r>
      <rPr>
        <i/>
        <sz val="12"/>
        <rFont val="Arial"/>
        <family val="2"/>
      </rPr>
      <t>n</t>
    </r>
    <r>
      <rPr>
        <vertAlign val="subscript"/>
        <sz val="12"/>
        <rFont val="Arial"/>
        <family val="2"/>
      </rPr>
      <t>bPHA_Ac</t>
    </r>
    <r>
      <rPr>
        <sz val="12"/>
        <rFont val="Arial"/>
        <family val="2"/>
      </rPr>
      <t>*[</t>
    </r>
    <r>
      <rPr>
        <i/>
        <sz val="12"/>
        <rFont val="Arial"/>
        <family val="2"/>
      </rPr>
      <t>K</t>
    </r>
    <r>
      <rPr>
        <vertAlign val="subscript"/>
        <sz val="12"/>
        <rFont val="Arial"/>
        <family val="2"/>
      </rPr>
      <t>O2,PAO</t>
    </r>
    <r>
      <rPr>
        <sz val="12"/>
        <rFont val="Arial"/>
        <family val="2"/>
      </rPr>
      <t>/(</t>
    </r>
    <r>
      <rPr>
        <i/>
        <sz val="12"/>
        <rFont val="Arial"/>
        <family val="2"/>
      </rPr>
      <t>K</t>
    </r>
    <r>
      <rPr>
        <vertAlign val="subscript"/>
        <sz val="12"/>
        <rFont val="Arial"/>
        <family val="2"/>
      </rPr>
      <t>O2,PAO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K</t>
    </r>
    <r>
      <rPr>
        <vertAlign val="subscript"/>
        <sz val="12"/>
        <rFont val="Arial"/>
        <family val="2"/>
      </rPr>
      <t>NOx,PAO</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X</t>
    </r>
    <r>
      <rPr>
        <vertAlign val="subscript"/>
        <sz val="12"/>
        <rFont val="Arial"/>
        <family val="2"/>
      </rPr>
      <t>PAO,PHA</t>
    </r>
  </si>
  <si>
    <r>
      <t>Endogenous respiration rate of X</t>
    </r>
    <r>
      <rPr>
        <vertAlign val="subscript"/>
        <sz val="10"/>
        <rFont val="Arial"/>
        <family val="2"/>
      </rPr>
      <t>OHO</t>
    </r>
  </si>
  <si>
    <r>
      <t>Endogenous respiration rate of X</t>
    </r>
    <r>
      <rPr>
        <vertAlign val="subscript"/>
        <sz val="10"/>
        <rFont val="Arial"/>
        <family val="2"/>
      </rPr>
      <t>OHO,Stor</t>
    </r>
  </si>
  <si>
    <r>
      <t>Reduction factor for anoxic endogenous respiration of X</t>
    </r>
    <r>
      <rPr>
        <vertAlign val="subscript"/>
        <sz val="10"/>
        <rFont val="Arial"/>
        <family val="2"/>
      </rPr>
      <t>PAO</t>
    </r>
  </si>
  <si>
    <r>
      <t>Reduction factor for anoxic lysis of X</t>
    </r>
    <r>
      <rPr>
        <vertAlign val="subscript"/>
        <sz val="10"/>
        <rFont val="Arial"/>
        <family val="2"/>
      </rPr>
      <t>PAO,PP</t>
    </r>
  </si>
  <si>
    <r>
      <t>Reduction factor for anoxic respiration of X</t>
    </r>
    <r>
      <rPr>
        <vertAlign val="subscript"/>
        <sz val="10"/>
        <rFont val="Arial"/>
        <family val="2"/>
      </rPr>
      <t>PAO,PHA</t>
    </r>
  </si>
  <si>
    <r>
      <t>Endogenous respiration rate for X</t>
    </r>
    <r>
      <rPr>
        <vertAlign val="subscript"/>
        <sz val="10"/>
        <rFont val="Arial"/>
        <family val="2"/>
      </rPr>
      <t>ANO</t>
    </r>
  </si>
  <si>
    <r>
      <t>Reduction factor for anoxic endogenous respiration of X</t>
    </r>
    <r>
      <rPr>
        <vertAlign val="subscript"/>
        <sz val="10"/>
        <rFont val="Arial"/>
        <family val="2"/>
      </rPr>
      <t>ANO</t>
    </r>
  </si>
  <si>
    <r>
      <t>i</t>
    </r>
    <r>
      <rPr>
        <vertAlign val="subscript"/>
        <sz val="12"/>
        <color indexed="8"/>
        <rFont val="Arial"/>
        <family val="2"/>
      </rPr>
      <t>N,XS</t>
    </r>
    <r>
      <rPr>
        <i/>
        <sz val="12"/>
        <color indexed="8"/>
        <rFont val="Arial"/>
        <family val="2"/>
      </rPr>
      <t>-i</t>
    </r>
    <r>
      <rPr>
        <vertAlign val="subscript"/>
        <sz val="12"/>
        <color indexed="8"/>
        <rFont val="Arial"/>
        <family val="2"/>
      </rPr>
      <t>N,SI</t>
    </r>
    <r>
      <rPr>
        <sz val="12"/>
        <color indexed="8"/>
        <rFont val="Arial"/>
        <family val="2"/>
      </rPr>
      <t>*</t>
    </r>
    <r>
      <rPr>
        <i/>
        <sz val="12"/>
        <color indexed="8"/>
        <rFont val="Arial"/>
        <family val="2"/>
      </rPr>
      <t>f</t>
    </r>
    <r>
      <rPr>
        <vertAlign val="subscript"/>
        <sz val="12"/>
        <color indexed="8"/>
        <rFont val="Arial"/>
        <family val="2"/>
      </rPr>
      <t>SI</t>
    </r>
    <r>
      <rPr>
        <sz val="12"/>
        <color indexed="8"/>
        <rFont val="Arial"/>
        <family val="2"/>
      </rPr>
      <t>-</t>
    </r>
    <r>
      <rPr>
        <i/>
        <sz val="12"/>
        <color indexed="8"/>
        <rFont val="Arial"/>
        <family val="2"/>
      </rPr>
      <t>i</t>
    </r>
    <r>
      <rPr>
        <vertAlign val="subscript"/>
        <sz val="12"/>
        <color indexed="8"/>
        <rFont val="Arial"/>
        <family val="2"/>
      </rPr>
      <t>N,SF</t>
    </r>
    <r>
      <rPr>
        <i/>
        <sz val="12"/>
        <color indexed="8"/>
        <rFont val="Arial"/>
        <family val="2"/>
      </rPr>
      <t>*</t>
    </r>
    <r>
      <rPr>
        <sz val="12"/>
        <color indexed="8"/>
        <rFont val="Arial"/>
        <family val="2"/>
      </rPr>
      <t>(1-</t>
    </r>
    <r>
      <rPr>
        <i/>
        <sz val="12"/>
        <color indexed="8"/>
        <rFont val="Arial"/>
        <family val="2"/>
      </rPr>
      <t>f</t>
    </r>
    <r>
      <rPr>
        <vertAlign val="subscript"/>
        <sz val="12"/>
        <color indexed="8"/>
        <rFont val="Arial"/>
        <family val="2"/>
      </rPr>
      <t>SI</t>
    </r>
    <r>
      <rPr>
        <sz val="12"/>
        <color indexed="8"/>
        <rFont val="Arial"/>
        <family val="2"/>
      </rPr>
      <t>)</t>
    </r>
  </si>
  <si>
    <r>
      <t>i</t>
    </r>
    <r>
      <rPr>
        <vertAlign val="subscript"/>
        <sz val="12"/>
        <color indexed="8"/>
        <rFont val="Arial"/>
        <family val="2"/>
      </rPr>
      <t>P,XS</t>
    </r>
    <r>
      <rPr>
        <i/>
        <sz val="12"/>
        <color indexed="8"/>
        <rFont val="Arial"/>
        <family val="2"/>
      </rPr>
      <t>-i</t>
    </r>
    <r>
      <rPr>
        <vertAlign val="subscript"/>
        <sz val="12"/>
        <color indexed="8"/>
        <rFont val="Arial"/>
        <family val="2"/>
      </rPr>
      <t>P,SI</t>
    </r>
    <r>
      <rPr>
        <sz val="12"/>
        <color indexed="8"/>
        <rFont val="Arial"/>
        <family val="2"/>
      </rPr>
      <t>*</t>
    </r>
    <r>
      <rPr>
        <i/>
        <sz val="12"/>
        <color indexed="8"/>
        <rFont val="Arial"/>
        <family val="2"/>
      </rPr>
      <t>f</t>
    </r>
    <r>
      <rPr>
        <vertAlign val="subscript"/>
        <sz val="12"/>
        <color indexed="8"/>
        <rFont val="Arial"/>
        <family val="2"/>
      </rPr>
      <t>SI</t>
    </r>
    <r>
      <rPr>
        <sz val="12"/>
        <color indexed="8"/>
        <rFont val="Arial"/>
        <family val="2"/>
      </rPr>
      <t>-</t>
    </r>
    <r>
      <rPr>
        <i/>
        <sz val="12"/>
        <color indexed="8"/>
        <rFont val="Arial"/>
        <family val="2"/>
      </rPr>
      <t>i</t>
    </r>
    <r>
      <rPr>
        <vertAlign val="subscript"/>
        <sz val="12"/>
        <color indexed="8"/>
        <rFont val="Arial"/>
        <family val="2"/>
      </rPr>
      <t>P,SF</t>
    </r>
    <r>
      <rPr>
        <i/>
        <sz val="12"/>
        <color indexed="8"/>
        <rFont val="Arial"/>
        <family val="2"/>
      </rPr>
      <t>*</t>
    </r>
    <r>
      <rPr>
        <sz val="12"/>
        <color indexed="8"/>
        <rFont val="Arial"/>
        <family val="2"/>
      </rPr>
      <t>(1-</t>
    </r>
    <r>
      <rPr>
        <i/>
        <sz val="12"/>
        <color indexed="8"/>
        <rFont val="Arial"/>
        <family val="2"/>
      </rPr>
      <t>f</t>
    </r>
    <r>
      <rPr>
        <vertAlign val="subscript"/>
        <sz val="12"/>
        <color indexed="8"/>
        <rFont val="Arial"/>
        <family val="2"/>
      </rPr>
      <t>SI</t>
    </r>
    <r>
      <rPr>
        <sz val="12"/>
        <color indexed="8"/>
        <rFont val="Arial"/>
        <family val="2"/>
      </rPr>
      <t>)</t>
    </r>
  </si>
  <si>
    <r>
      <t>v</t>
    </r>
    <r>
      <rPr>
        <vertAlign val="subscript"/>
        <sz val="12"/>
        <color indexed="8"/>
        <rFont val="Arial"/>
        <family val="2"/>
      </rPr>
      <t>1_SNH</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1_SPO</t>
    </r>
    <r>
      <rPr>
        <sz val="12"/>
        <color indexed="8"/>
        <rFont val="Arial"/>
        <family val="2"/>
      </rPr>
      <t>*</t>
    </r>
    <r>
      <rPr>
        <i/>
        <sz val="12"/>
        <color indexed="8"/>
        <rFont val="Arial"/>
        <family val="2"/>
      </rPr>
      <t>i</t>
    </r>
    <r>
      <rPr>
        <vertAlign val="subscript"/>
        <sz val="12"/>
        <color indexed="8"/>
        <rFont val="Arial"/>
        <family val="2"/>
      </rPr>
      <t>Charge_PO4</t>
    </r>
  </si>
  <si>
    <r>
      <t>k</t>
    </r>
    <r>
      <rPr>
        <vertAlign val="subscript"/>
        <sz val="12"/>
        <color indexed="8"/>
        <rFont val="Arial"/>
        <family val="2"/>
      </rPr>
      <t>h</t>
    </r>
    <r>
      <rPr>
        <sz val="12"/>
        <color indexed="8"/>
        <rFont val="Arial"/>
        <family val="2"/>
      </rPr>
      <t>*[(</t>
    </r>
    <r>
      <rPr>
        <i/>
        <sz val="12"/>
        <color indexed="8"/>
        <rFont val="Arial"/>
        <family val="2"/>
      </rPr>
      <t>X</t>
    </r>
    <r>
      <rPr>
        <vertAlign val="subscript"/>
        <sz val="12"/>
        <color indexed="8"/>
        <rFont val="Arial"/>
        <family val="2"/>
      </rPr>
      <t>S</t>
    </r>
    <r>
      <rPr>
        <sz val="12"/>
        <color indexed="8"/>
        <rFont val="Arial"/>
        <family val="2"/>
      </rPr>
      <t>/(</t>
    </r>
    <r>
      <rPr>
        <i/>
        <sz val="12"/>
        <color indexed="8"/>
        <rFont val="Arial"/>
        <family val="2"/>
      </rPr>
      <t>X</t>
    </r>
    <r>
      <rPr>
        <vertAlign val="subscript"/>
        <sz val="12"/>
        <color indexed="8"/>
        <rFont val="Arial"/>
        <family val="2"/>
      </rPr>
      <t>H</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X</t>
    </r>
    <r>
      <rPr>
        <sz val="12"/>
        <color indexed="8"/>
        <rFont val="Arial"/>
        <family val="2"/>
      </rPr>
      <t>+(</t>
    </r>
    <r>
      <rPr>
        <i/>
        <sz val="12"/>
        <color indexed="8"/>
        <rFont val="Arial"/>
        <family val="2"/>
      </rPr>
      <t>X</t>
    </r>
    <r>
      <rPr>
        <vertAlign val="subscript"/>
        <sz val="12"/>
        <color indexed="8"/>
        <rFont val="Arial"/>
        <family val="2"/>
      </rPr>
      <t>S</t>
    </r>
    <r>
      <rPr>
        <sz val="12"/>
        <color indexed="8"/>
        <rFont val="Arial"/>
        <family val="2"/>
      </rPr>
      <t>/(</t>
    </r>
    <r>
      <rPr>
        <i/>
        <sz val="12"/>
        <color indexed="8"/>
        <rFont val="Arial"/>
        <family val="2"/>
      </rPr>
      <t>X</t>
    </r>
    <r>
      <rPr>
        <vertAlign val="subscript"/>
        <sz val="12"/>
        <color indexed="8"/>
        <rFont val="Arial"/>
        <family val="2"/>
      </rPr>
      <t>H</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O</t>
    </r>
    <r>
      <rPr>
        <sz val="12"/>
        <color indexed="10"/>
        <rFont val="Arial"/>
        <family val="2"/>
      </rPr>
      <t>/(</t>
    </r>
    <r>
      <rPr>
        <i/>
        <sz val="12"/>
        <color indexed="10"/>
        <rFont val="Arial"/>
        <family val="2"/>
      </rPr>
      <t>K</t>
    </r>
    <r>
      <rPr>
        <vertAlign val="subscript"/>
        <sz val="12"/>
        <color indexed="10"/>
        <rFont val="Arial"/>
        <family val="2"/>
      </rPr>
      <t>O,HYD</t>
    </r>
    <r>
      <rPr>
        <sz val="12"/>
        <color indexed="10"/>
        <rFont val="Arial"/>
        <family val="2"/>
      </rPr>
      <t>+</t>
    </r>
    <r>
      <rPr>
        <i/>
        <sz val="12"/>
        <color indexed="10"/>
        <rFont val="Arial"/>
        <family val="2"/>
      </rPr>
      <t>S</t>
    </r>
    <r>
      <rPr>
        <vertAlign val="subscript"/>
        <sz val="12"/>
        <color indexed="10"/>
        <rFont val="Arial"/>
        <family val="2"/>
      </rPr>
      <t>O</t>
    </r>
    <r>
      <rPr>
        <sz val="12"/>
        <color indexed="10"/>
        <rFont val="Arial"/>
        <family val="2"/>
      </rPr>
      <t>)]</t>
    </r>
    <r>
      <rPr>
        <sz val="12"/>
        <color indexed="8"/>
        <rFont val="Arial"/>
        <family val="2"/>
      </rPr>
      <t>*(</t>
    </r>
    <r>
      <rPr>
        <i/>
        <sz val="12"/>
        <color indexed="8"/>
        <rFont val="Arial"/>
        <family val="2"/>
      </rPr>
      <t>X</t>
    </r>
    <r>
      <rPr>
        <vertAlign val="subscript"/>
        <sz val="12"/>
        <color indexed="8"/>
        <rFont val="Arial"/>
        <family val="2"/>
      </rPr>
      <t>H</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</si>
  <si>
    <r>
      <t>v</t>
    </r>
    <r>
      <rPr>
        <vertAlign val="subscript"/>
        <sz val="12"/>
        <color indexed="8"/>
        <rFont val="Arial"/>
        <family val="2"/>
      </rPr>
      <t>2_SNH</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2_SPO</t>
    </r>
    <r>
      <rPr>
        <sz val="12"/>
        <color indexed="8"/>
        <rFont val="Arial"/>
        <family val="2"/>
      </rPr>
      <t>*</t>
    </r>
    <r>
      <rPr>
        <i/>
        <sz val="12"/>
        <color indexed="8"/>
        <rFont val="Arial"/>
        <family val="2"/>
      </rPr>
      <t>i</t>
    </r>
    <r>
      <rPr>
        <vertAlign val="subscript"/>
        <sz val="12"/>
        <color indexed="8"/>
        <rFont val="Arial"/>
        <family val="2"/>
      </rPr>
      <t>Charge_PO4</t>
    </r>
  </si>
  <si>
    <r>
      <t>k</t>
    </r>
    <r>
      <rPr>
        <vertAlign val="subscript"/>
        <sz val="12"/>
        <color indexed="8"/>
        <rFont val="Arial"/>
        <family val="2"/>
      </rPr>
      <t>h</t>
    </r>
    <r>
      <rPr>
        <sz val="12"/>
        <color indexed="8"/>
        <rFont val="Arial"/>
        <family val="2"/>
      </rPr>
      <t>*</t>
    </r>
    <r>
      <rPr>
        <i/>
        <sz val="12"/>
        <color indexed="57"/>
        <rFont val="Arial"/>
        <family val="2"/>
      </rPr>
      <t>η</t>
    </r>
    <r>
      <rPr>
        <vertAlign val="subscript"/>
        <sz val="12"/>
        <color indexed="57"/>
        <rFont val="Arial"/>
        <family val="2"/>
      </rPr>
      <t>NO,HYD</t>
    </r>
    <r>
      <rPr>
        <sz val="12"/>
        <color indexed="8"/>
        <rFont val="Arial"/>
        <family val="2"/>
      </rPr>
      <t>*[</t>
    </r>
    <r>
      <rPr>
        <i/>
        <sz val="12"/>
        <color indexed="57"/>
        <rFont val="Arial"/>
        <family val="2"/>
      </rPr>
      <t>K</t>
    </r>
    <r>
      <rPr>
        <vertAlign val="subscript"/>
        <sz val="12"/>
        <color indexed="57"/>
        <rFont val="Arial"/>
        <family val="2"/>
      </rPr>
      <t>O,HYD</t>
    </r>
    <r>
      <rPr>
        <sz val="12"/>
        <color indexed="8"/>
        <rFont val="Arial"/>
        <family val="2"/>
      </rPr>
      <t>/(</t>
    </r>
    <r>
      <rPr>
        <i/>
        <sz val="12"/>
        <color indexed="57"/>
        <rFont val="Arial"/>
        <family val="2"/>
      </rPr>
      <t>K</t>
    </r>
    <r>
      <rPr>
        <vertAlign val="subscript"/>
        <sz val="12"/>
        <color indexed="57"/>
        <rFont val="Arial"/>
        <family val="2"/>
      </rPr>
      <t>O,HYD</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57"/>
        <rFont val="Arial"/>
        <family val="2"/>
      </rPr>
      <t>K</t>
    </r>
    <r>
      <rPr>
        <vertAlign val="subscript"/>
        <sz val="12"/>
        <color indexed="57"/>
        <rFont val="Arial"/>
        <family val="2"/>
      </rPr>
      <t>NO,HYD</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8"/>
        <rFont val="Arial"/>
        <family val="2"/>
      </rPr>
      <t>X</t>
    </r>
    <r>
      <rPr>
        <vertAlign val="subscript"/>
        <sz val="12"/>
        <color indexed="8"/>
        <rFont val="Arial"/>
        <family val="2"/>
      </rPr>
      <t>S</t>
    </r>
    <r>
      <rPr>
        <sz val="12"/>
        <color indexed="8"/>
        <rFont val="Arial"/>
        <family val="2"/>
      </rPr>
      <t>/(</t>
    </r>
    <r>
      <rPr>
        <i/>
        <sz val="12"/>
        <color indexed="8"/>
        <rFont val="Arial"/>
        <family val="2"/>
      </rPr>
      <t>X</t>
    </r>
    <r>
      <rPr>
        <vertAlign val="subscript"/>
        <sz val="12"/>
        <color indexed="8"/>
        <rFont val="Arial"/>
        <family val="2"/>
      </rPr>
      <t>H</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X</t>
    </r>
    <r>
      <rPr>
        <sz val="12"/>
        <color indexed="8"/>
        <rFont val="Arial"/>
        <family val="2"/>
      </rPr>
      <t>+(</t>
    </r>
    <r>
      <rPr>
        <i/>
        <sz val="12"/>
        <color indexed="8"/>
        <rFont val="Arial"/>
        <family val="2"/>
      </rPr>
      <t>X</t>
    </r>
    <r>
      <rPr>
        <vertAlign val="subscript"/>
        <sz val="12"/>
        <color indexed="8"/>
        <rFont val="Arial"/>
        <family val="2"/>
      </rPr>
      <t>S</t>
    </r>
    <r>
      <rPr>
        <sz val="12"/>
        <color indexed="8"/>
        <rFont val="Arial"/>
        <family val="2"/>
      </rPr>
      <t>/(</t>
    </r>
    <r>
      <rPr>
        <i/>
        <sz val="12"/>
        <color indexed="8"/>
        <rFont val="Arial"/>
        <family val="2"/>
      </rPr>
      <t>X</t>
    </r>
    <r>
      <rPr>
        <vertAlign val="subscript"/>
        <sz val="12"/>
        <color indexed="8"/>
        <rFont val="Arial"/>
        <family val="2"/>
      </rPr>
      <t>H</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H</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</si>
  <si>
    <r>
      <t>v</t>
    </r>
    <r>
      <rPr>
        <vertAlign val="subscript"/>
        <sz val="12"/>
        <color indexed="8"/>
        <rFont val="Arial"/>
        <family val="2"/>
      </rPr>
      <t>3_SNH</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3_SPO</t>
    </r>
    <r>
      <rPr>
        <sz val="12"/>
        <color indexed="8"/>
        <rFont val="Arial"/>
        <family val="2"/>
      </rPr>
      <t>*</t>
    </r>
    <r>
      <rPr>
        <i/>
        <sz val="12"/>
        <color indexed="8"/>
        <rFont val="Arial"/>
        <family val="2"/>
      </rPr>
      <t>i</t>
    </r>
    <r>
      <rPr>
        <vertAlign val="subscript"/>
        <sz val="12"/>
        <color indexed="8"/>
        <rFont val="Arial"/>
        <family val="2"/>
      </rPr>
      <t>Charge_PO4</t>
    </r>
  </si>
  <si>
    <r>
      <t>k</t>
    </r>
    <r>
      <rPr>
        <vertAlign val="subscript"/>
        <sz val="12"/>
        <color indexed="8"/>
        <rFont val="Arial"/>
        <family val="2"/>
      </rPr>
      <t>h</t>
    </r>
    <r>
      <rPr>
        <sz val="12"/>
        <color indexed="8"/>
        <rFont val="Arial"/>
        <family val="2"/>
      </rPr>
      <t>*</t>
    </r>
    <r>
      <rPr>
        <i/>
        <sz val="12"/>
        <color indexed="8"/>
        <rFont val="Arial"/>
        <family val="2"/>
      </rPr>
      <t>η</t>
    </r>
    <r>
      <rPr>
        <vertAlign val="subscript"/>
        <sz val="12"/>
        <color indexed="8"/>
        <rFont val="Arial"/>
        <family val="2"/>
      </rPr>
      <t>fe</t>
    </r>
    <r>
      <rPr>
        <sz val="12"/>
        <color indexed="8"/>
        <rFont val="Arial"/>
        <family val="2"/>
      </rPr>
      <t>*[</t>
    </r>
    <r>
      <rPr>
        <i/>
        <sz val="12"/>
        <color indexed="57"/>
        <rFont val="Arial"/>
        <family val="2"/>
      </rPr>
      <t>K</t>
    </r>
    <r>
      <rPr>
        <vertAlign val="subscript"/>
        <sz val="12"/>
        <color indexed="57"/>
        <rFont val="Arial"/>
        <family val="2"/>
      </rPr>
      <t>O,HYD</t>
    </r>
    <r>
      <rPr>
        <sz val="12"/>
        <color indexed="8"/>
        <rFont val="Arial"/>
        <family val="2"/>
      </rPr>
      <t>/(</t>
    </r>
    <r>
      <rPr>
        <i/>
        <sz val="12"/>
        <color indexed="57"/>
        <rFont val="Arial"/>
        <family val="2"/>
      </rPr>
      <t>K</t>
    </r>
    <r>
      <rPr>
        <vertAlign val="subscript"/>
        <sz val="12"/>
        <color indexed="57"/>
        <rFont val="Arial"/>
        <family val="2"/>
      </rPr>
      <t>O,HYD</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57"/>
        <rFont val="Arial"/>
        <family val="2"/>
      </rPr>
      <t>K</t>
    </r>
    <r>
      <rPr>
        <vertAlign val="subscript"/>
        <sz val="12"/>
        <color indexed="57"/>
        <rFont val="Arial"/>
        <family val="2"/>
      </rPr>
      <t>NO,HYD</t>
    </r>
    <r>
      <rPr>
        <sz val="12"/>
        <color indexed="8"/>
        <rFont val="Arial"/>
        <family val="2"/>
      </rPr>
      <t>/(</t>
    </r>
    <r>
      <rPr>
        <i/>
        <sz val="12"/>
        <color indexed="57"/>
        <rFont val="Arial"/>
        <family val="2"/>
      </rPr>
      <t>K</t>
    </r>
    <r>
      <rPr>
        <vertAlign val="subscript"/>
        <sz val="12"/>
        <color indexed="57"/>
        <rFont val="Arial"/>
        <family val="2"/>
      </rPr>
      <t>NO,HYD</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8"/>
        <rFont val="Arial"/>
        <family val="2"/>
      </rPr>
      <t>X</t>
    </r>
    <r>
      <rPr>
        <vertAlign val="subscript"/>
        <sz val="12"/>
        <color indexed="8"/>
        <rFont val="Arial"/>
        <family val="2"/>
      </rPr>
      <t>S</t>
    </r>
    <r>
      <rPr>
        <sz val="12"/>
        <color indexed="8"/>
        <rFont val="Arial"/>
        <family val="2"/>
      </rPr>
      <t>/(</t>
    </r>
    <r>
      <rPr>
        <i/>
        <sz val="12"/>
        <color indexed="8"/>
        <rFont val="Arial"/>
        <family val="2"/>
      </rPr>
      <t>X</t>
    </r>
    <r>
      <rPr>
        <vertAlign val="subscript"/>
        <sz val="12"/>
        <color indexed="8"/>
        <rFont val="Arial"/>
        <family val="2"/>
      </rPr>
      <t>H</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X</t>
    </r>
    <r>
      <rPr>
        <sz val="12"/>
        <color indexed="8"/>
        <rFont val="Arial"/>
        <family val="2"/>
      </rPr>
      <t>+(</t>
    </r>
    <r>
      <rPr>
        <i/>
        <sz val="12"/>
        <color indexed="8"/>
        <rFont val="Arial"/>
        <family val="2"/>
      </rPr>
      <t>X</t>
    </r>
    <r>
      <rPr>
        <vertAlign val="subscript"/>
        <sz val="12"/>
        <color indexed="8"/>
        <rFont val="Arial"/>
        <family val="2"/>
      </rPr>
      <t>S</t>
    </r>
    <r>
      <rPr>
        <sz val="12"/>
        <color indexed="8"/>
        <rFont val="Arial"/>
        <family val="2"/>
      </rPr>
      <t>/(</t>
    </r>
    <r>
      <rPr>
        <i/>
        <sz val="12"/>
        <color indexed="8"/>
        <rFont val="Arial"/>
        <family val="2"/>
      </rPr>
      <t>X</t>
    </r>
    <r>
      <rPr>
        <vertAlign val="subscript"/>
        <sz val="12"/>
        <color indexed="8"/>
        <rFont val="Arial"/>
        <family val="2"/>
      </rPr>
      <t>H</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H</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</si>
  <si>
    <r>
      <t>Aerobic growth of X</t>
    </r>
    <r>
      <rPr>
        <b/>
        <vertAlign val="subscript"/>
        <sz val="12"/>
        <color indexed="8"/>
        <rFont val="Arial"/>
        <family val="2"/>
      </rPr>
      <t>H</t>
    </r>
    <r>
      <rPr>
        <b/>
        <sz val="12"/>
        <color indexed="8"/>
        <rFont val="Arial"/>
        <family val="2"/>
      </rPr>
      <t xml:space="preserve"> on S</t>
    </r>
    <r>
      <rPr>
        <b/>
        <vertAlign val="subscript"/>
        <sz val="12"/>
        <color indexed="8"/>
        <rFont val="Arial"/>
        <family val="2"/>
      </rPr>
      <t>F</t>
    </r>
  </si>
  <si>
    <r>
      <t>-(1-</t>
    </r>
    <r>
      <rPr>
        <i/>
        <sz val="12"/>
        <color indexed="8"/>
        <rFont val="Arial"/>
        <family val="2"/>
      </rPr>
      <t>Y</t>
    </r>
    <r>
      <rPr>
        <vertAlign val="subscript"/>
        <sz val="12"/>
        <color indexed="8"/>
        <rFont val="Arial"/>
        <family val="2"/>
      </rPr>
      <t>H</t>
    </r>
    <r>
      <rPr>
        <sz val="12"/>
        <color indexed="8"/>
        <rFont val="Arial"/>
        <family val="2"/>
      </rPr>
      <t>)</t>
    </r>
    <r>
      <rPr>
        <i/>
        <sz val="12"/>
        <color indexed="8"/>
        <rFont val="Arial"/>
        <family val="2"/>
      </rPr>
      <t>/Y</t>
    </r>
    <r>
      <rPr>
        <vertAlign val="subscript"/>
        <sz val="12"/>
        <color indexed="8"/>
        <rFont val="Arial"/>
        <family val="2"/>
      </rPr>
      <t>H</t>
    </r>
  </si>
  <si>
    <r>
      <t>i</t>
    </r>
    <r>
      <rPr>
        <vertAlign val="subscript"/>
        <sz val="12"/>
        <color indexed="8"/>
        <rFont val="Arial"/>
        <family val="2"/>
      </rPr>
      <t>N,SF</t>
    </r>
    <r>
      <rPr>
        <i/>
        <sz val="12"/>
        <color indexed="8"/>
        <rFont val="Arial"/>
        <family val="2"/>
      </rPr>
      <t>/Y</t>
    </r>
    <r>
      <rPr>
        <vertAlign val="subscript"/>
        <sz val="12"/>
        <color indexed="8"/>
        <rFont val="Arial"/>
        <family val="2"/>
      </rPr>
      <t>H</t>
    </r>
    <r>
      <rPr>
        <sz val="12"/>
        <color indexed="8"/>
        <rFont val="Arial"/>
        <family val="2"/>
      </rPr>
      <t>-</t>
    </r>
    <r>
      <rPr>
        <i/>
        <sz val="12"/>
        <color indexed="8"/>
        <rFont val="Arial"/>
        <family val="2"/>
      </rPr>
      <t>i</t>
    </r>
    <r>
      <rPr>
        <vertAlign val="subscript"/>
        <sz val="12"/>
        <color indexed="8"/>
        <rFont val="Arial"/>
        <family val="2"/>
      </rPr>
      <t>N,BM</t>
    </r>
  </si>
  <si>
    <r>
      <t>i</t>
    </r>
    <r>
      <rPr>
        <vertAlign val="subscript"/>
        <sz val="12"/>
        <color indexed="8"/>
        <rFont val="Arial"/>
        <family val="2"/>
      </rPr>
      <t>P,SF</t>
    </r>
    <r>
      <rPr>
        <i/>
        <sz val="12"/>
        <color indexed="8"/>
        <rFont val="Arial"/>
        <family val="2"/>
      </rPr>
      <t>/Y</t>
    </r>
    <r>
      <rPr>
        <vertAlign val="subscript"/>
        <sz val="12"/>
        <color indexed="8"/>
        <rFont val="Arial"/>
        <family val="2"/>
      </rPr>
      <t>H</t>
    </r>
    <r>
      <rPr>
        <sz val="12"/>
        <color indexed="8"/>
        <rFont val="Arial"/>
        <family val="2"/>
      </rPr>
      <t>-</t>
    </r>
    <r>
      <rPr>
        <i/>
        <sz val="12"/>
        <color indexed="8"/>
        <rFont val="Arial"/>
        <family val="2"/>
      </rPr>
      <t>i</t>
    </r>
    <r>
      <rPr>
        <vertAlign val="subscript"/>
        <sz val="12"/>
        <color indexed="8"/>
        <rFont val="Arial"/>
        <family val="2"/>
      </rPr>
      <t>P,BM</t>
    </r>
  </si>
  <si>
    <r>
      <t>v</t>
    </r>
    <r>
      <rPr>
        <vertAlign val="subscript"/>
        <sz val="12"/>
        <color indexed="8"/>
        <rFont val="Arial"/>
        <family val="2"/>
      </rPr>
      <t>4_SNH</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4_SPO</t>
    </r>
    <r>
      <rPr>
        <sz val="12"/>
        <color indexed="8"/>
        <rFont val="Arial"/>
        <family val="2"/>
      </rPr>
      <t>*</t>
    </r>
    <r>
      <rPr>
        <i/>
        <sz val="12"/>
        <color indexed="8"/>
        <rFont val="Arial"/>
        <family val="2"/>
      </rPr>
      <t>i</t>
    </r>
    <r>
      <rPr>
        <vertAlign val="subscript"/>
        <sz val="12"/>
        <color indexed="8"/>
        <rFont val="Arial"/>
        <family val="2"/>
      </rPr>
      <t>Charge_PO4</t>
    </r>
  </si>
  <si>
    <r>
      <t>μ</t>
    </r>
    <r>
      <rPr>
        <vertAlign val="subscript"/>
        <sz val="12"/>
        <color indexed="8"/>
        <rFont val="Arial"/>
        <family val="2"/>
      </rPr>
      <t>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57"/>
        <rFont val="Arial"/>
        <family val="2"/>
      </rPr>
      <t>K</t>
    </r>
    <r>
      <rPr>
        <vertAlign val="subscript"/>
        <sz val="12"/>
        <color indexed="57"/>
        <rFont val="Arial"/>
        <family val="2"/>
      </rPr>
      <t>O,H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8"/>
        <rFont val="Arial"/>
        <family val="2"/>
      </rPr>
      <t>S</t>
    </r>
    <r>
      <rPr>
        <vertAlign val="subscript"/>
        <sz val="12"/>
        <color indexed="8"/>
        <rFont val="Arial"/>
        <family val="2"/>
      </rPr>
      <t>NH</t>
    </r>
    <r>
      <rPr>
        <sz val="12"/>
        <color indexed="8"/>
        <rFont val="Arial"/>
        <family val="2"/>
      </rPr>
      <t>/(</t>
    </r>
    <r>
      <rPr>
        <i/>
        <sz val="12"/>
        <color indexed="57"/>
        <rFont val="Arial"/>
        <family val="2"/>
      </rPr>
      <t>K</t>
    </r>
    <r>
      <rPr>
        <vertAlign val="subscript"/>
        <sz val="12"/>
        <color indexed="57"/>
        <rFont val="Arial"/>
        <family val="2"/>
      </rPr>
      <t>N,H</t>
    </r>
    <r>
      <rPr>
        <sz val="12"/>
        <color indexed="8"/>
        <rFont val="Arial"/>
        <family val="2"/>
      </rPr>
      <t>+</t>
    </r>
    <r>
      <rPr>
        <i/>
        <sz val="12"/>
        <color indexed="8"/>
        <rFont val="Arial"/>
        <family val="2"/>
      </rPr>
      <t>S</t>
    </r>
    <r>
      <rPr>
        <vertAlign val="subscript"/>
        <sz val="12"/>
        <color indexed="8"/>
        <rFont val="Arial"/>
        <family val="2"/>
      </rPr>
      <t>NH</t>
    </r>
    <r>
      <rPr>
        <sz val="12"/>
        <color indexed="8"/>
        <rFont val="Arial"/>
        <family val="2"/>
      </rPr>
      <t>)]*[</t>
    </r>
    <r>
      <rPr>
        <i/>
        <sz val="12"/>
        <color indexed="8"/>
        <rFont val="Arial"/>
        <family val="2"/>
      </rPr>
      <t>S</t>
    </r>
    <r>
      <rPr>
        <vertAlign val="subscript"/>
        <sz val="12"/>
        <color indexed="8"/>
        <rFont val="Arial"/>
        <family val="2"/>
      </rPr>
      <t>PO</t>
    </r>
    <r>
      <rPr>
        <sz val="12"/>
        <color indexed="8"/>
        <rFont val="Arial"/>
        <family val="2"/>
      </rPr>
      <t>/(</t>
    </r>
    <r>
      <rPr>
        <i/>
        <sz val="12"/>
        <color indexed="57"/>
        <rFont val="Arial"/>
        <family val="2"/>
      </rPr>
      <t>K</t>
    </r>
    <r>
      <rPr>
        <vertAlign val="subscript"/>
        <sz val="12"/>
        <color indexed="57"/>
        <rFont val="Arial"/>
        <family val="2"/>
      </rPr>
      <t>P,H</t>
    </r>
    <r>
      <rPr>
        <sz val="12"/>
        <color indexed="8"/>
        <rFont val="Arial"/>
        <family val="2"/>
      </rPr>
      <t>+</t>
    </r>
    <r>
      <rPr>
        <i/>
        <sz val="12"/>
        <color indexed="8"/>
        <rFont val="Arial"/>
        <family val="2"/>
      </rPr>
      <t>S</t>
    </r>
    <r>
      <rPr>
        <vertAlign val="subscript"/>
        <sz val="12"/>
        <color indexed="8"/>
        <rFont val="Arial"/>
        <family val="2"/>
      </rPr>
      <t>PO</t>
    </r>
    <r>
      <rPr>
        <sz val="12"/>
        <color indexed="8"/>
        <rFont val="Arial"/>
        <family val="2"/>
      </rPr>
      <t>)]*[</t>
    </r>
    <r>
      <rPr>
        <i/>
        <sz val="12"/>
        <color indexed="8"/>
        <rFont val="Arial"/>
        <family val="2"/>
      </rPr>
      <t>S</t>
    </r>
    <r>
      <rPr>
        <vertAlign val="subscript"/>
        <sz val="12"/>
        <color indexed="8"/>
        <rFont val="Arial"/>
        <family val="2"/>
      </rPr>
      <t>HCO</t>
    </r>
    <r>
      <rPr>
        <sz val="12"/>
        <color indexed="8"/>
        <rFont val="Arial"/>
        <family val="2"/>
      </rPr>
      <t>/(</t>
    </r>
    <r>
      <rPr>
        <i/>
        <sz val="12"/>
        <color indexed="57"/>
        <rFont val="Arial"/>
        <family val="2"/>
      </rPr>
      <t>K</t>
    </r>
    <r>
      <rPr>
        <vertAlign val="subscript"/>
        <sz val="12"/>
        <color indexed="57"/>
        <rFont val="Arial"/>
        <family val="2"/>
      </rPr>
      <t>HCO,H</t>
    </r>
    <r>
      <rPr>
        <sz val="12"/>
        <color indexed="8"/>
        <rFont val="Arial"/>
        <family val="2"/>
      </rPr>
      <t>+</t>
    </r>
    <r>
      <rPr>
        <i/>
        <sz val="12"/>
        <color indexed="8"/>
        <rFont val="Arial"/>
        <family val="2"/>
      </rPr>
      <t>S</t>
    </r>
    <r>
      <rPr>
        <vertAlign val="subscript"/>
        <sz val="12"/>
        <color indexed="8"/>
        <rFont val="Arial"/>
        <family val="2"/>
      </rPr>
      <t>HCO</t>
    </r>
    <r>
      <rPr>
        <sz val="12"/>
        <color indexed="8"/>
        <rFont val="Arial"/>
        <family val="2"/>
      </rPr>
      <t>)]*</t>
    </r>
    <r>
      <rPr>
        <i/>
        <sz val="12"/>
        <color indexed="8"/>
        <rFont val="Arial"/>
        <family val="2"/>
      </rPr>
      <t>X</t>
    </r>
    <r>
      <rPr>
        <vertAlign val="subscript"/>
        <sz val="12"/>
        <color indexed="8"/>
        <rFont val="Arial"/>
        <family val="2"/>
      </rPr>
      <t>H</t>
    </r>
  </si>
  <si>
    <r>
      <t>Aerobic growth of X</t>
    </r>
    <r>
      <rPr>
        <b/>
        <vertAlign val="subscript"/>
        <sz val="12"/>
        <color indexed="8"/>
        <rFont val="Arial"/>
        <family val="2"/>
      </rPr>
      <t>H</t>
    </r>
    <r>
      <rPr>
        <b/>
        <sz val="12"/>
        <color indexed="8"/>
        <rFont val="Arial"/>
        <family val="2"/>
      </rPr>
      <t xml:space="preserve"> on S</t>
    </r>
    <r>
      <rPr>
        <b/>
        <vertAlign val="subscript"/>
        <sz val="12"/>
        <color indexed="8"/>
        <rFont val="Arial"/>
        <family val="2"/>
      </rPr>
      <t>A</t>
    </r>
  </si>
  <si>
    <r>
      <t>v</t>
    </r>
    <r>
      <rPr>
        <vertAlign val="subscript"/>
        <sz val="12"/>
        <color indexed="8"/>
        <rFont val="Arial"/>
        <family val="2"/>
      </rPr>
      <t>5_SNH</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5_SPO</t>
    </r>
    <r>
      <rPr>
        <sz val="12"/>
        <color indexed="8"/>
        <rFont val="Arial"/>
        <family val="2"/>
      </rPr>
      <t>*</t>
    </r>
    <r>
      <rPr>
        <i/>
        <sz val="12"/>
        <color indexed="8"/>
        <rFont val="Arial"/>
        <family val="2"/>
      </rPr>
      <t>i</t>
    </r>
    <r>
      <rPr>
        <vertAlign val="subscript"/>
        <sz val="12"/>
        <color indexed="8"/>
        <rFont val="Arial"/>
        <family val="2"/>
      </rPr>
      <t>Charge_PO4</t>
    </r>
    <r>
      <rPr>
        <sz val="12"/>
        <color indexed="8"/>
        <rFont val="Arial"/>
        <family val="2"/>
      </rPr>
      <t>+</t>
    </r>
    <r>
      <rPr>
        <i/>
        <sz val="12"/>
        <color indexed="8"/>
        <rFont val="Arial"/>
        <family val="2"/>
      </rPr>
      <t>v</t>
    </r>
    <r>
      <rPr>
        <vertAlign val="subscript"/>
        <sz val="12"/>
        <color indexed="8"/>
        <rFont val="Arial"/>
        <family val="2"/>
      </rPr>
      <t>5_SA</t>
    </r>
    <r>
      <rPr>
        <sz val="12"/>
        <color indexed="8"/>
        <rFont val="Arial"/>
        <family val="2"/>
      </rPr>
      <t>*</t>
    </r>
    <r>
      <rPr>
        <i/>
        <sz val="12"/>
        <color indexed="8"/>
        <rFont val="Arial"/>
        <family val="2"/>
      </rPr>
      <t>i</t>
    </r>
    <r>
      <rPr>
        <vertAlign val="subscript"/>
        <sz val="12"/>
        <color indexed="8"/>
        <rFont val="Arial"/>
        <family val="2"/>
      </rPr>
      <t>Charge_Ac</t>
    </r>
  </si>
  <si>
    <r>
      <t>μ</t>
    </r>
    <r>
      <rPr>
        <vertAlign val="subscript"/>
        <sz val="12"/>
        <color indexed="8"/>
        <rFont val="Arial"/>
        <family val="2"/>
      </rPr>
      <t>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57"/>
        <rFont val="Arial"/>
        <family val="2"/>
      </rPr>
      <t>K</t>
    </r>
    <r>
      <rPr>
        <vertAlign val="subscript"/>
        <sz val="12"/>
        <color indexed="57"/>
        <rFont val="Arial"/>
        <family val="2"/>
      </rPr>
      <t>O,H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57"/>
        <rFont val="Arial"/>
        <family val="2"/>
      </rPr>
      <t>K</t>
    </r>
    <r>
      <rPr>
        <vertAlign val="subscript"/>
        <sz val="12"/>
        <color indexed="57"/>
        <rFont val="Arial"/>
        <family val="2"/>
      </rPr>
      <t>Ac</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8"/>
        <rFont val="Arial"/>
        <family val="2"/>
      </rPr>
      <t>S</t>
    </r>
    <r>
      <rPr>
        <vertAlign val="subscript"/>
        <sz val="12"/>
        <color indexed="8"/>
        <rFont val="Arial"/>
        <family val="2"/>
      </rPr>
      <t>NH</t>
    </r>
    <r>
      <rPr>
        <sz val="12"/>
        <color indexed="8"/>
        <rFont val="Arial"/>
        <family val="2"/>
      </rPr>
      <t>/(</t>
    </r>
    <r>
      <rPr>
        <i/>
        <sz val="12"/>
        <color indexed="57"/>
        <rFont val="Arial"/>
        <family val="2"/>
      </rPr>
      <t>K</t>
    </r>
    <r>
      <rPr>
        <vertAlign val="subscript"/>
        <sz val="12"/>
        <color indexed="57"/>
        <rFont val="Arial"/>
        <family val="2"/>
      </rPr>
      <t>N,H</t>
    </r>
    <r>
      <rPr>
        <sz val="12"/>
        <color indexed="8"/>
        <rFont val="Arial"/>
        <family val="2"/>
      </rPr>
      <t>+</t>
    </r>
    <r>
      <rPr>
        <i/>
        <sz val="12"/>
        <color indexed="8"/>
        <rFont val="Arial"/>
        <family val="2"/>
      </rPr>
      <t>S</t>
    </r>
    <r>
      <rPr>
        <vertAlign val="subscript"/>
        <sz val="12"/>
        <color indexed="8"/>
        <rFont val="Arial"/>
        <family val="2"/>
      </rPr>
      <t>NH</t>
    </r>
    <r>
      <rPr>
        <sz val="12"/>
        <color indexed="8"/>
        <rFont val="Arial"/>
        <family val="2"/>
      </rPr>
      <t>)]*[</t>
    </r>
    <r>
      <rPr>
        <i/>
        <sz val="12"/>
        <color indexed="8"/>
        <rFont val="Arial"/>
        <family val="2"/>
      </rPr>
      <t>S</t>
    </r>
    <r>
      <rPr>
        <vertAlign val="subscript"/>
        <sz val="12"/>
        <color indexed="8"/>
        <rFont val="Arial"/>
        <family val="2"/>
      </rPr>
      <t>PO</t>
    </r>
    <r>
      <rPr>
        <sz val="12"/>
        <color indexed="8"/>
        <rFont val="Arial"/>
        <family val="2"/>
      </rPr>
      <t>/(</t>
    </r>
    <r>
      <rPr>
        <i/>
        <sz val="12"/>
        <color indexed="57"/>
        <rFont val="Arial"/>
        <family val="2"/>
      </rPr>
      <t>K</t>
    </r>
    <r>
      <rPr>
        <vertAlign val="subscript"/>
        <sz val="12"/>
        <color indexed="57"/>
        <rFont val="Arial"/>
        <family val="2"/>
      </rPr>
      <t>P,H</t>
    </r>
    <r>
      <rPr>
        <sz val="12"/>
        <color indexed="8"/>
        <rFont val="Arial"/>
        <family val="2"/>
      </rPr>
      <t>+</t>
    </r>
    <r>
      <rPr>
        <i/>
        <sz val="12"/>
        <color indexed="8"/>
        <rFont val="Arial"/>
        <family val="2"/>
      </rPr>
      <t>S</t>
    </r>
    <r>
      <rPr>
        <vertAlign val="subscript"/>
        <sz val="12"/>
        <color indexed="8"/>
        <rFont val="Arial"/>
        <family val="2"/>
      </rPr>
      <t>PO</t>
    </r>
    <r>
      <rPr>
        <sz val="12"/>
        <color indexed="8"/>
        <rFont val="Arial"/>
        <family val="2"/>
      </rPr>
      <t>)]*[</t>
    </r>
    <r>
      <rPr>
        <i/>
        <sz val="12"/>
        <color indexed="8"/>
        <rFont val="Arial"/>
        <family val="2"/>
      </rPr>
      <t>S</t>
    </r>
    <r>
      <rPr>
        <vertAlign val="subscript"/>
        <sz val="12"/>
        <color indexed="8"/>
        <rFont val="Arial"/>
        <family val="2"/>
      </rPr>
      <t>HCO</t>
    </r>
    <r>
      <rPr>
        <sz val="12"/>
        <color indexed="8"/>
        <rFont val="Arial"/>
        <family val="2"/>
      </rPr>
      <t>/(</t>
    </r>
    <r>
      <rPr>
        <i/>
        <sz val="12"/>
        <color indexed="57"/>
        <rFont val="Arial"/>
        <family val="2"/>
      </rPr>
      <t>K</t>
    </r>
    <r>
      <rPr>
        <vertAlign val="subscript"/>
        <sz val="12"/>
        <color indexed="57"/>
        <rFont val="Arial"/>
        <family val="2"/>
      </rPr>
      <t>HCO,H</t>
    </r>
    <r>
      <rPr>
        <sz val="12"/>
        <color indexed="8"/>
        <rFont val="Arial"/>
        <family val="2"/>
      </rPr>
      <t>+</t>
    </r>
    <r>
      <rPr>
        <i/>
        <sz val="12"/>
        <color indexed="8"/>
        <rFont val="Arial"/>
        <family val="2"/>
      </rPr>
      <t>S</t>
    </r>
    <r>
      <rPr>
        <vertAlign val="subscript"/>
        <sz val="12"/>
        <color indexed="8"/>
        <rFont val="Arial"/>
        <family val="2"/>
      </rPr>
      <t>HCO</t>
    </r>
    <r>
      <rPr>
        <sz val="12"/>
        <color indexed="8"/>
        <rFont val="Arial"/>
        <family val="2"/>
      </rPr>
      <t>)]*</t>
    </r>
    <r>
      <rPr>
        <i/>
        <sz val="12"/>
        <color indexed="8"/>
        <rFont val="Arial"/>
        <family val="2"/>
      </rPr>
      <t>X</t>
    </r>
    <r>
      <rPr>
        <vertAlign val="subscript"/>
        <sz val="12"/>
        <color indexed="8"/>
        <rFont val="Arial"/>
        <family val="2"/>
      </rPr>
      <t>H</t>
    </r>
  </si>
  <si>
    <r>
      <t>Anoxic growth of X</t>
    </r>
    <r>
      <rPr>
        <b/>
        <vertAlign val="subscript"/>
        <sz val="12"/>
        <color indexed="8"/>
        <rFont val="Arial"/>
        <family val="2"/>
      </rPr>
      <t>H</t>
    </r>
    <r>
      <rPr>
        <b/>
        <sz val="12"/>
        <color indexed="8"/>
        <rFont val="Arial"/>
        <family val="2"/>
      </rPr>
      <t xml:space="preserve"> on S</t>
    </r>
    <r>
      <rPr>
        <b/>
        <vertAlign val="subscript"/>
        <sz val="12"/>
        <color indexed="8"/>
        <rFont val="Arial"/>
        <family val="2"/>
      </rPr>
      <t>F</t>
    </r>
  </si>
  <si>
    <r>
      <t>-(1-</t>
    </r>
    <r>
      <rPr>
        <i/>
        <sz val="12"/>
        <color indexed="8"/>
        <rFont val="Arial"/>
        <family val="2"/>
      </rPr>
      <t>Y</t>
    </r>
    <r>
      <rPr>
        <vertAlign val="subscript"/>
        <sz val="12"/>
        <color indexed="8"/>
        <rFont val="Arial"/>
        <family val="2"/>
      </rPr>
      <t>H</t>
    </r>
    <r>
      <rPr>
        <sz val="12"/>
        <color indexed="8"/>
        <rFont val="Arial"/>
        <family val="2"/>
      </rPr>
      <t>)/(</t>
    </r>
    <r>
      <rPr>
        <i/>
        <sz val="12"/>
        <color indexed="8"/>
        <rFont val="Arial"/>
        <family val="2"/>
      </rPr>
      <t>i</t>
    </r>
    <r>
      <rPr>
        <vertAlign val="subscript"/>
        <sz val="12"/>
        <color indexed="8"/>
        <rFont val="Arial"/>
        <family val="2"/>
      </rPr>
      <t>NOx,N2</t>
    </r>
    <r>
      <rPr>
        <sz val="12"/>
        <color indexed="8"/>
        <rFont val="Arial"/>
        <family val="2"/>
      </rPr>
      <t>*</t>
    </r>
    <r>
      <rPr>
        <i/>
        <sz val="12"/>
        <color indexed="8"/>
        <rFont val="Arial"/>
        <family val="2"/>
      </rPr>
      <t>Y</t>
    </r>
    <r>
      <rPr>
        <vertAlign val="subscript"/>
        <sz val="12"/>
        <color indexed="8"/>
        <rFont val="Arial"/>
        <family val="2"/>
      </rPr>
      <t>H</t>
    </r>
    <r>
      <rPr>
        <sz val="12"/>
        <color indexed="8"/>
        <rFont val="Arial"/>
        <family val="2"/>
      </rPr>
      <t>)</t>
    </r>
  </si>
  <si>
    <r>
      <t>(1-</t>
    </r>
    <r>
      <rPr>
        <i/>
        <sz val="12"/>
        <color indexed="8"/>
        <rFont val="Arial"/>
        <family val="2"/>
      </rPr>
      <t>Y</t>
    </r>
    <r>
      <rPr>
        <vertAlign val="subscript"/>
        <sz val="12"/>
        <color indexed="8"/>
        <rFont val="Arial"/>
        <family val="2"/>
      </rPr>
      <t>H</t>
    </r>
    <r>
      <rPr>
        <sz val="12"/>
        <color indexed="8"/>
        <rFont val="Arial"/>
        <family val="2"/>
      </rPr>
      <t>)/(</t>
    </r>
    <r>
      <rPr>
        <i/>
        <sz val="12"/>
        <color indexed="8"/>
        <rFont val="Arial"/>
        <family val="2"/>
      </rPr>
      <t>i</t>
    </r>
    <r>
      <rPr>
        <vertAlign val="subscript"/>
        <sz val="12"/>
        <color indexed="8"/>
        <rFont val="Arial"/>
        <family val="2"/>
      </rPr>
      <t>NOx,N2</t>
    </r>
    <r>
      <rPr>
        <sz val="12"/>
        <color indexed="8"/>
        <rFont val="Arial"/>
        <family val="2"/>
      </rPr>
      <t>*</t>
    </r>
    <r>
      <rPr>
        <i/>
        <sz val="12"/>
        <color indexed="8"/>
        <rFont val="Arial"/>
        <family val="2"/>
      </rPr>
      <t>Y</t>
    </r>
    <r>
      <rPr>
        <vertAlign val="subscript"/>
        <sz val="12"/>
        <color indexed="8"/>
        <rFont val="Arial"/>
        <family val="2"/>
      </rPr>
      <t>H</t>
    </r>
    <r>
      <rPr>
        <sz val="12"/>
        <color indexed="8"/>
        <rFont val="Arial"/>
        <family val="2"/>
      </rPr>
      <t>)</t>
    </r>
  </si>
  <si>
    <r>
      <t>v</t>
    </r>
    <r>
      <rPr>
        <vertAlign val="subscript"/>
        <sz val="12"/>
        <color indexed="8"/>
        <rFont val="Arial"/>
        <family val="2"/>
      </rPr>
      <t>6_SNH</t>
    </r>
    <r>
      <rPr>
        <i/>
        <sz val="12"/>
        <color indexed="8"/>
        <rFont val="Arial"/>
        <family val="2"/>
      </rPr>
      <t>*i</t>
    </r>
    <r>
      <rPr>
        <vertAlign val="subscript"/>
        <sz val="12"/>
        <color indexed="8"/>
        <rFont val="Arial"/>
        <family val="2"/>
      </rPr>
      <t>Charge_NHx</t>
    </r>
    <r>
      <rPr>
        <i/>
        <sz val="12"/>
        <color indexed="8"/>
        <rFont val="Arial"/>
        <family val="2"/>
      </rPr>
      <t>+v</t>
    </r>
    <r>
      <rPr>
        <vertAlign val="subscript"/>
        <sz val="12"/>
        <color indexed="8"/>
        <rFont val="Arial"/>
        <family val="2"/>
      </rPr>
      <t>6_SPO</t>
    </r>
    <r>
      <rPr>
        <i/>
        <sz val="12"/>
        <color indexed="8"/>
        <rFont val="Arial"/>
        <family val="2"/>
      </rPr>
      <t>*i</t>
    </r>
    <r>
      <rPr>
        <vertAlign val="subscript"/>
        <sz val="12"/>
        <color indexed="8"/>
        <rFont val="Arial"/>
        <family val="2"/>
      </rPr>
      <t>Charge_PO4</t>
    </r>
    <r>
      <rPr>
        <i/>
        <sz val="12"/>
        <color indexed="8"/>
        <rFont val="Arial"/>
        <family val="2"/>
      </rPr>
      <t>+v</t>
    </r>
    <r>
      <rPr>
        <vertAlign val="subscript"/>
        <sz val="12"/>
        <color indexed="8"/>
        <rFont val="Arial"/>
        <family val="2"/>
      </rPr>
      <t>6_SNO</t>
    </r>
    <r>
      <rPr>
        <i/>
        <sz val="12"/>
        <color indexed="8"/>
        <rFont val="Arial"/>
        <family val="2"/>
      </rPr>
      <t>*i</t>
    </r>
    <r>
      <rPr>
        <vertAlign val="subscript"/>
        <sz val="12"/>
        <color indexed="8"/>
        <rFont val="Arial"/>
        <family val="2"/>
      </rPr>
      <t>Charge_NOx</t>
    </r>
  </si>
  <si>
    <r>
      <t>μ</t>
    </r>
    <r>
      <rPr>
        <vertAlign val="subscript"/>
        <sz val="12"/>
        <color indexed="8"/>
        <rFont val="Arial"/>
        <family val="2"/>
      </rPr>
      <t>H</t>
    </r>
    <r>
      <rPr>
        <sz val="12"/>
        <color indexed="8"/>
        <rFont val="Arial"/>
        <family val="2"/>
      </rPr>
      <t>*</t>
    </r>
    <r>
      <rPr>
        <i/>
        <sz val="12"/>
        <color indexed="57"/>
        <rFont val="Arial"/>
        <family val="2"/>
      </rPr>
      <t>η</t>
    </r>
    <r>
      <rPr>
        <vertAlign val="subscript"/>
        <sz val="12"/>
        <color indexed="57"/>
        <rFont val="Arial"/>
        <family val="2"/>
      </rPr>
      <t>NO,H</t>
    </r>
    <r>
      <rPr>
        <sz val="12"/>
        <color indexed="8"/>
        <rFont val="Arial"/>
        <family val="2"/>
      </rPr>
      <t>*[</t>
    </r>
    <r>
      <rPr>
        <i/>
        <sz val="12"/>
        <color indexed="57"/>
        <rFont val="Arial"/>
        <family val="2"/>
      </rPr>
      <t>K</t>
    </r>
    <r>
      <rPr>
        <vertAlign val="subscript"/>
        <sz val="12"/>
        <color indexed="57"/>
        <rFont val="Arial"/>
        <family val="2"/>
      </rPr>
      <t>O,H</t>
    </r>
    <r>
      <rPr>
        <sz val="12"/>
        <color indexed="8"/>
        <rFont val="Arial"/>
        <family val="2"/>
      </rPr>
      <t>/(</t>
    </r>
    <r>
      <rPr>
        <i/>
        <sz val="12"/>
        <color indexed="57"/>
        <rFont val="Arial"/>
        <family val="2"/>
      </rPr>
      <t>K</t>
    </r>
    <r>
      <rPr>
        <vertAlign val="subscript"/>
        <sz val="12"/>
        <color indexed="57"/>
        <rFont val="Arial"/>
        <family val="2"/>
      </rPr>
      <t>O,H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57"/>
        <rFont val="Arial"/>
        <family val="2"/>
      </rPr>
      <t>K</t>
    </r>
    <r>
      <rPr>
        <vertAlign val="subscript"/>
        <sz val="12"/>
        <color indexed="57"/>
        <rFont val="Arial"/>
        <family val="2"/>
      </rPr>
      <t>NO,H</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8"/>
        <rFont val="Arial"/>
        <family val="2"/>
      </rPr>
      <t>S</t>
    </r>
    <r>
      <rPr>
        <vertAlign val="subscript"/>
        <sz val="12"/>
        <color indexed="8"/>
        <rFont val="Arial"/>
        <family val="2"/>
      </rPr>
      <t>NH</t>
    </r>
    <r>
      <rPr>
        <sz val="12"/>
        <color indexed="8"/>
        <rFont val="Arial"/>
        <family val="2"/>
      </rPr>
      <t>/(</t>
    </r>
    <r>
      <rPr>
        <i/>
        <sz val="12"/>
        <color indexed="57"/>
        <rFont val="Arial"/>
        <family val="2"/>
      </rPr>
      <t>K</t>
    </r>
    <r>
      <rPr>
        <vertAlign val="subscript"/>
        <sz val="12"/>
        <color indexed="57"/>
        <rFont val="Arial"/>
        <family val="2"/>
      </rPr>
      <t>N,H</t>
    </r>
    <r>
      <rPr>
        <sz val="12"/>
        <color indexed="8"/>
        <rFont val="Arial"/>
        <family val="2"/>
      </rPr>
      <t>+</t>
    </r>
    <r>
      <rPr>
        <i/>
        <sz val="12"/>
        <color indexed="8"/>
        <rFont val="Arial"/>
        <family val="2"/>
      </rPr>
      <t>S</t>
    </r>
    <r>
      <rPr>
        <vertAlign val="subscript"/>
        <sz val="12"/>
        <color indexed="8"/>
        <rFont val="Arial"/>
        <family val="2"/>
      </rPr>
      <t>NH</t>
    </r>
    <r>
      <rPr>
        <sz val="12"/>
        <color indexed="8"/>
        <rFont val="Arial"/>
        <family val="2"/>
      </rPr>
      <t>)]*[</t>
    </r>
    <r>
      <rPr>
        <i/>
        <sz val="12"/>
        <color indexed="8"/>
        <rFont val="Arial"/>
        <family val="2"/>
      </rPr>
      <t>S</t>
    </r>
    <r>
      <rPr>
        <vertAlign val="subscript"/>
        <sz val="12"/>
        <color indexed="8"/>
        <rFont val="Arial"/>
        <family val="2"/>
      </rPr>
      <t>PO</t>
    </r>
    <r>
      <rPr>
        <sz val="12"/>
        <color indexed="8"/>
        <rFont val="Arial"/>
        <family val="2"/>
      </rPr>
      <t>/(</t>
    </r>
    <r>
      <rPr>
        <i/>
        <sz val="12"/>
        <color indexed="57"/>
        <rFont val="Arial"/>
        <family val="2"/>
      </rPr>
      <t>K</t>
    </r>
    <r>
      <rPr>
        <vertAlign val="subscript"/>
        <sz val="12"/>
        <color indexed="57"/>
        <rFont val="Arial"/>
        <family val="2"/>
      </rPr>
      <t>P,H</t>
    </r>
    <r>
      <rPr>
        <sz val="12"/>
        <color indexed="8"/>
        <rFont val="Arial"/>
        <family val="2"/>
      </rPr>
      <t>+</t>
    </r>
    <r>
      <rPr>
        <i/>
        <sz val="12"/>
        <color indexed="8"/>
        <rFont val="Arial"/>
        <family val="2"/>
      </rPr>
      <t>S</t>
    </r>
    <r>
      <rPr>
        <vertAlign val="subscript"/>
        <sz val="12"/>
        <color indexed="8"/>
        <rFont val="Arial"/>
        <family val="2"/>
      </rPr>
      <t>PO</t>
    </r>
    <r>
      <rPr>
        <sz val="12"/>
        <color indexed="8"/>
        <rFont val="Arial"/>
        <family val="2"/>
      </rPr>
      <t>)]*[</t>
    </r>
    <r>
      <rPr>
        <i/>
        <sz val="12"/>
        <color indexed="8"/>
        <rFont val="Arial"/>
        <family val="2"/>
      </rPr>
      <t>S</t>
    </r>
    <r>
      <rPr>
        <vertAlign val="subscript"/>
        <sz val="12"/>
        <color indexed="8"/>
        <rFont val="Arial"/>
        <family val="2"/>
      </rPr>
      <t>HCO</t>
    </r>
    <r>
      <rPr>
        <sz val="12"/>
        <color indexed="8"/>
        <rFont val="Arial"/>
        <family val="2"/>
      </rPr>
      <t>/(</t>
    </r>
    <r>
      <rPr>
        <i/>
        <sz val="12"/>
        <color indexed="57"/>
        <rFont val="Arial"/>
        <family val="2"/>
      </rPr>
      <t>K</t>
    </r>
    <r>
      <rPr>
        <vertAlign val="subscript"/>
        <sz val="12"/>
        <color indexed="57"/>
        <rFont val="Arial"/>
        <family val="2"/>
      </rPr>
      <t>HCO,H</t>
    </r>
    <r>
      <rPr>
        <sz val="12"/>
        <color indexed="8"/>
        <rFont val="Arial"/>
        <family val="2"/>
      </rPr>
      <t>+</t>
    </r>
    <r>
      <rPr>
        <i/>
        <sz val="12"/>
        <color indexed="8"/>
        <rFont val="Arial"/>
        <family val="2"/>
      </rPr>
      <t>S</t>
    </r>
    <r>
      <rPr>
        <vertAlign val="subscript"/>
        <sz val="12"/>
        <color indexed="8"/>
        <rFont val="Arial"/>
        <family val="2"/>
      </rPr>
      <t>HCO</t>
    </r>
    <r>
      <rPr>
        <sz val="12"/>
        <color indexed="8"/>
        <rFont val="Arial"/>
        <family val="2"/>
      </rPr>
      <t>)]*</t>
    </r>
    <r>
      <rPr>
        <i/>
        <sz val="12"/>
        <color indexed="8"/>
        <rFont val="Arial"/>
        <family val="2"/>
      </rPr>
      <t>X</t>
    </r>
    <r>
      <rPr>
        <vertAlign val="subscript"/>
        <sz val="12"/>
        <color indexed="8"/>
        <rFont val="Arial"/>
        <family val="2"/>
      </rPr>
      <t>H</t>
    </r>
  </si>
  <si>
    <r>
      <t>Anoxic growth of X</t>
    </r>
    <r>
      <rPr>
        <b/>
        <vertAlign val="subscript"/>
        <sz val="12"/>
        <color indexed="8"/>
        <rFont val="Arial"/>
        <family val="2"/>
      </rPr>
      <t>H</t>
    </r>
    <r>
      <rPr>
        <b/>
        <sz val="12"/>
        <color indexed="8"/>
        <rFont val="Arial"/>
        <family val="2"/>
      </rPr>
      <t xml:space="preserve"> on S</t>
    </r>
    <r>
      <rPr>
        <b/>
        <vertAlign val="subscript"/>
        <sz val="12"/>
        <color indexed="8"/>
        <rFont val="Arial"/>
        <family val="2"/>
      </rPr>
      <t>A</t>
    </r>
  </si>
  <si>
    <r>
      <t>v</t>
    </r>
    <r>
      <rPr>
        <vertAlign val="subscript"/>
        <sz val="12"/>
        <color indexed="8"/>
        <rFont val="Arial"/>
        <family val="2"/>
      </rPr>
      <t>7_SNH</t>
    </r>
    <r>
      <rPr>
        <i/>
        <sz val="12"/>
        <color indexed="8"/>
        <rFont val="Arial"/>
        <family val="2"/>
      </rPr>
      <t>*i</t>
    </r>
    <r>
      <rPr>
        <vertAlign val="subscript"/>
        <sz val="12"/>
        <color indexed="8"/>
        <rFont val="Arial"/>
        <family val="2"/>
      </rPr>
      <t>Charge_NHx</t>
    </r>
    <r>
      <rPr>
        <i/>
        <sz val="12"/>
        <color indexed="8"/>
        <rFont val="Arial"/>
        <family val="2"/>
      </rPr>
      <t>+v</t>
    </r>
    <r>
      <rPr>
        <vertAlign val="subscript"/>
        <sz val="12"/>
        <color indexed="8"/>
        <rFont val="Arial"/>
        <family val="2"/>
      </rPr>
      <t>7_SPO</t>
    </r>
    <r>
      <rPr>
        <i/>
        <sz val="12"/>
        <color indexed="8"/>
        <rFont val="Arial"/>
        <family val="2"/>
      </rPr>
      <t>*i</t>
    </r>
    <r>
      <rPr>
        <vertAlign val="subscript"/>
        <sz val="12"/>
        <color indexed="8"/>
        <rFont val="Arial"/>
        <family val="2"/>
      </rPr>
      <t>Charge_PO4</t>
    </r>
    <r>
      <rPr>
        <i/>
        <sz val="12"/>
        <color indexed="8"/>
        <rFont val="Arial"/>
        <family val="2"/>
      </rPr>
      <t>+v</t>
    </r>
    <r>
      <rPr>
        <vertAlign val="subscript"/>
        <sz val="12"/>
        <color indexed="8"/>
        <rFont val="Arial"/>
        <family val="2"/>
      </rPr>
      <t>7_SNO</t>
    </r>
    <r>
      <rPr>
        <i/>
        <sz val="12"/>
        <color indexed="8"/>
        <rFont val="Arial"/>
        <family val="2"/>
      </rPr>
      <t>*i</t>
    </r>
    <r>
      <rPr>
        <vertAlign val="subscript"/>
        <sz val="12"/>
        <color indexed="8"/>
        <rFont val="Arial"/>
        <family val="2"/>
      </rPr>
      <t>Charge_NOx</t>
    </r>
    <r>
      <rPr>
        <i/>
        <sz val="12"/>
        <color indexed="8"/>
        <rFont val="Arial"/>
        <family val="2"/>
      </rPr>
      <t>+v</t>
    </r>
    <r>
      <rPr>
        <vertAlign val="subscript"/>
        <sz val="12"/>
        <color indexed="8"/>
        <rFont val="Arial"/>
        <family val="2"/>
      </rPr>
      <t>7_SA</t>
    </r>
    <r>
      <rPr>
        <i/>
        <sz val="12"/>
        <color indexed="8"/>
        <rFont val="Arial"/>
        <family val="2"/>
      </rPr>
      <t>*i</t>
    </r>
    <r>
      <rPr>
        <vertAlign val="subscript"/>
        <sz val="12"/>
        <color indexed="8"/>
        <rFont val="Arial"/>
        <family val="2"/>
      </rPr>
      <t>Charge_Ac</t>
    </r>
  </si>
  <si>
    <r>
      <t>μ</t>
    </r>
    <r>
      <rPr>
        <vertAlign val="subscript"/>
        <sz val="12"/>
        <color indexed="8"/>
        <rFont val="Arial"/>
        <family val="2"/>
      </rPr>
      <t>H</t>
    </r>
    <r>
      <rPr>
        <sz val="12"/>
        <color indexed="8"/>
        <rFont val="Arial"/>
        <family val="2"/>
      </rPr>
      <t>*</t>
    </r>
    <r>
      <rPr>
        <i/>
        <sz val="12"/>
        <color indexed="57"/>
        <rFont val="Arial"/>
        <family val="2"/>
      </rPr>
      <t>η</t>
    </r>
    <r>
      <rPr>
        <vertAlign val="subscript"/>
        <sz val="12"/>
        <color indexed="57"/>
        <rFont val="Arial"/>
        <family val="2"/>
      </rPr>
      <t>NO,H</t>
    </r>
    <r>
      <rPr>
        <sz val="12"/>
        <color indexed="8"/>
        <rFont val="Arial"/>
        <family val="2"/>
      </rPr>
      <t>*[</t>
    </r>
    <r>
      <rPr>
        <i/>
        <sz val="12"/>
        <color indexed="57"/>
        <rFont val="Arial"/>
        <family val="2"/>
      </rPr>
      <t>K</t>
    </r>
    <r>
      <rPr>
        <vertAlign val="subscript"/>
        <sz val="12"/>
        <color indexed="57"/>
        <rFont val="Arial"/>
        <family val="2"/>
      </rPr>
      <t>O,H</t>
    </r>
    <r>
      <rPr>
        <sz val="12"/>
        <color indexed="8"/>
        <rFont val="Arial"/>
        <family val="2"/>
      </rPr>
      <t>/(</t>
    </r>
    <r>
      <rPr>
        <i/>
        <sz val="12"/>
        <color indexed="57"/>
        <rFont val="Arial"/>
        <family val="2"/>
      </rPr>
      <t>K</t>
    </r>
    <r>
      <rPr>
        <vertAlign val="subscript"/>
        <sz val="12"/>
        <color indexed="57"/>
        <rFont val="Arial"/>
        <family val="2"/>
      </rPr>
      <t>O,H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57"/>
        <rFont val="Arial"/>
        <family val="2"/>
      </rPr>
      <t>K</t>
    </r>
    <r>
      <rPr>
        <vertAlign val="subscript"/>
        <sz val="12"/>
        <color indexed="57"/>
        <rFont val="Arial"/>
        <family val="2"/>
      </rPr>
      <t>NO,H</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57"/>
        <rFont val="Arial"/>
        <family val="2"/>
      </rPr>
      <t>K</t>
    </r>
    <r>
      <rPr>
        <vertAlign val="subscript"/>
        <sz val="12"/>
        <color indexed="57"/>
        <rFont val="Arial"/>
        <family val="2"/>
      </rPr>
      <t>Ac</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8"/>
        <rFont val="Arial"/>
        <family val="2"/>
      </rPr>
      <t>S</t>
    </r>
    <r>
      <rPr>
        <vertAlign val="subscript"/>
        <sz val="12"/>
        <color indexed="8"/>
        <rFont val="Arial"/>
        <family val="2"/>
      </rPr>
      <t>NH</t>
    </r>
    <r>
      <rPr>
        <sz val="12"/>
        <color indexed="8"/>
        <rFont val="Arial"/>
        <family val="2"/>
      </rPr>
      <t>/(</t>
    </r>
    <r>
      <rPr>
        <i/>
        <sz val="12"/>
        <color indexed="57"/>
        <rFont val="Arial"/>
        <family val="2"/>
      </rPr>
      <t>K</t>
    </r>
    <r>
      <rPr>
        <vertAlign val="subscript"/>
        <sz val="12"/>
        <color indexed="57"/>
        <rFont val="Arial"/>
        <family val="2"/>
      </rPr>
      <t>N,H</t>
    </r>
    <r>
      <rPr>
        <sz val="12"/>
        <color indexed="8"/>
        <rFont val="Arial"/>
        <family val="2"/>
      </rPr>
      <t>+</t>
    </r>
    <r>
      <rPr>
        <i/>
        <sz val="12"/>
        <color indexed="8"/>
        <rFont val="Arial"/>
        <family val="2"/>
      </rPr>
      <t>S</t>
    </r>
    <r>
      <rPr>
        <vertAlign val="subscript"/>
        <sz val="12"/>
        <color indexed="8"/>
        <rFont val="Arial"/>
        <family val="2"/>
      </rPr>
      <t>NH</t>
    </r>
    <r>
      <rPr>
        <sz val="12"/>
        <color indexed="8"/>
        <rFont val="Arial"/>
        <family val="2"/>
      </rPr>
      <t>)]*[</t>
    </r>
    <r>
      <rPr>
        <i/>
        <sz val="12"/>
        <color indexed="8"/>
        <rFont val="Arial"/>
        <family val="2"/>
      </rPr>
      <t>S</t>
    </r>
    <r>
      <rPr>
        <vertAlign val="subscript"/>
        <sz val="12"/>
        <color indexed="8"/>
        <rFont val="Arial"/>
        <family val="2"/>
      </rPr>
      <t>PO</t>
    </r>
    <r>
      <rPr>
        <sz val="12"/>
        <color indexed="8"/>
        <rFont val="Arial"/>
        <family val="2"/>
      </rPr>
      <t>/(</t>
    </r>
    <r>
      <rPr>
        <i/>
        <sz val="12"/>
        <color indexed="8"/>
        <rFont val="Arial"/>
        <family val="2"/>
      </rPr>
      <t>K</t>
    </r>
    <r>
      <rPr>
        <vertAlign val="subscript"/>
        <sz val="12"/>
        <color indexed="8"/>
        <rFont val="Arial"/>
        <family val="2"/>
      </rPr>
      <t>P,H</t>
    </r>
    <r>
      <rPr>
        <sz val="12"/>
        <color indexed="8"/>
        <rFont val="Arial"/>
        <family val="2"/>
      </rPr>
      <t>+</t>
    </r>
    <r>
      <rPr>
        <i/>
        <sz val="12"/>
        <color indexed="8"/>
        <rFont val="Arial"/>
        <family val="2"/>
      </rPr>
      <t>S</t>
    </r>
    <r>
      <rPr>
        <vertAlign val="subscript"/>
        <sz val="12"/>
        <color indexed="8"/>
        <rFont val="Arial"/>
        <family val="2"/>
      </rPr>
      <t>PO</t>
    </r>
    <r>
      <rPr>
        <sz val="12"/>
        <color indexed="8"/>
        <rFont val="Arial"/>
        <family val="2"/>
      </rPr>
      <t>)]*[</t>
    </r>
    <r>
      <rPr>
        <i/>
        <sz val="12"/>
        <color indexed="8"/>
        <rFont val="Arial"/>
        <family val="2"/>
      </rPr>
      <t>S</t>
    </r>
    <r>
      <rPr>
        <vertAlign val="subscript"/>
        <sz val="12"/>
        <color indexed="8"/>
        <rFont val="Arial"/>
        <family val="2"/>
      </rPr>
      <t>HCO</t>
    </r>
    <r>
      <rPr>
        <sz val="12"/>
        <color indexed="8"/>
        <rFont val="Arial"/>
        <family val="2"/>
      </rPr>
      <t>/(</t>
    </r>
    <r>
      <rPr>
        <i/>
        <sz val="12"/>
        <color indexed="57"/>
        <rFont val="Arial"/>
        <family val="2"/>
      </rPr>
      <t>K</t>
    </r>
    <r>
      <rPr>
        <vertAlign val="subscript"/>
        <sz val="12"/>
        <color indexed="57"/>
        <rFont val="Arial"/>
        <family val="2"/>
      </rPr>
      <t>HCO,H</t>
    </r>
    <r>
      <rPr>
        <sz val="12"/>
        <color indexed="8"/>
        <rFont val="Arial"/>
        <family val="2"/>
      </rPr>
      <t>+</t>
    </r>
    <r>
      <rPr>
        <i/>
        <sz val="12"/>
        <color indexed="8"/>
        <rFont val="Arial"/>
        <family val="2"/>
      </rPr>
      <t>S</t>
    </r>
    <r>
      <rPr>
        <vertAlign val="subscript"/>
        <sz val="12"/>
        <color indexed="8"/>
        <rFont val="Arial"/>
        <family val="2"/>
      </rPr>
      <t>HCO</t>
    </r>
    <r>
      <rPr>
        <sz val="12"/>
        <color indexed="8"/>
        <rFont val="Arial"/>
        <family val="2"/>
      </rPr>
      <t>)]*</t>
    </r>
    <r>
      <rPr>
        <i/>
        <sz val="12"/>
        <color indexed="8"/>
        <rFont val="Arial"/>
        <family val="2"/>
      </rPr>
      <t>X</t>
    </r>
    <r>
      <rPr>
        <vertAlign val="subscript"/>
        <sz val="12"/>
        <color indexed="8"/>
        <rFont val="Arial"/>
        <family val="2"/>
      </rPr>
      <t>H</t>
    </r>
  </si>
  <si>
    <r>
      <t>v</t>
    </r>
    <r>
      <rPr>
        <vertAlign val="subscript"/>
        <sz val="12"/>
        <color indexed="8"/>
        <rFont val="Arial"/>
        <family val="2"/>
      </rPr>
      <t>8_SNH</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8_SPO</t>
    </r>
    <r>
      <rPr>
        <sz val="12"/>
        <color indexed="8"/>
        <rFont val="Arial"/>
        <family val="2"/>
      </rPr>
      <t>*</t>
    </r>
    <r>
      <rPr>
        <i/>
        <sz val="12"/>
        <color indexed="8"/>
        <rFont val="Arial"/>
        <family val="2"/>
      </rPr>
      <t>i</t>
    </r>
    <r>
      <rPr>
        <vertAlign val="subscript"/>
        <sz val="12"/>
        <color indexed="8"/>
        <rFont val="Arial"/>
        <family val="2"/>
      </rPr>
      <t>Charge_PO4</t>
    </r>
    <r>
      <rPr>
        <sz val="12"/>
        <color indexed="8"/>
        <rFont val="Arial"/>
        <family val="2"/>
      </rPr>
      <t>+</t>
    </r>
    <r>
      <rPr>
        <i/>
        <sz val="12"/>
        <color indexed="8"/>
        <rFont val="Arial"/>
        <family val="2"/>
      </rPr>
      <t>i</t>
    </r>
    <r>
      <rPr>
        <vertAlign val="subscript"/>
        <sz val="12"/>
        <color indexed="8"/>
        <rFont val="Arial"/>
        <family val="2"/>
      </rPr>
      <t>Charge_Ac</t>
    </r>
  </si>
  <si>
    <r>
      <t>q</t>
    </r>
    <r>
      <rPr>
        <vertAlign val="subscript"/>
        <sz val="12"/>
        <color indexed="8"/>
        <rFont val="Arial"/>
        <family val="2"/>
      </rPr>
      <t>fe</t>
    </r>
    <r>
      <rPr>
        <sz val="12"/>
        <color indexed="8"/>
        <rFont val="Arial"/>
        <family val="2"/>
      </rPr>
      <t>*[</t>
    </r>
    <r>
      <rPr>
        <i/>
        <sz val="12"/>
        <color indexed="57"/>
        <rFont val="Arial"/>
        <family val="2"/>
      </rPr>
      <t>K</t>
    </r>
    <r>
      <rPr>
        <vertAlign val="subscript"/>
        <sz val="12"/>
        <color indexed="57"/>
        <rFont val="Arial"/>
        <family val="2"/>
      </rPr>
      <t>O,H</t>
    </r>
    <r>
      <rPr>
        <sz val="12"/>
        <color indexed="8"/>
        <rFont val="Arial"/>
        <family val="2"/>
      </rPr>
      <t>/(</t>
    </r>
    <r>
      <rPr>
        <i/>
        <sz val="12"/>
        <color indexed="57"/>
        <rFont val="Arial"/>
        <family val="2"/>
      </rPr>
      <t>K</t>
    </r>
    <r>
      <rPr>
        <vertAlign val="subscript"/>
        <sz val="12"/>
        <color indexed="57"/>
        <rFont val="Arial"/>
        <family val="2"/>
      </rPr>
      <t>O,H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57"/>
        <rFont val="Arial"/>
        <family val="2"/>
      </rPr>
      <t>K</t>
    </r>
    <r>
      <rPr>
        <vertAlign val="subscript"/>
        <sz val="12"/>
        <color indexed="57"/>
        <rFont val="Arial"/>
        <family val="2"/>
      </rPr>
      <t>NO,H</t>
    </r>
    <r>
      <rPr>
        <sz val="12"/>
        <color indexed="8"/>
        <rFont val="Arial"/>
        <family val="2"/>
      </rPr>
      <t>/(</t>
    </r>
    <r>
      <rPr>
        <i/>
        <sz val="12"/>
        <color indexed="57"/>
        <rFont val="Arial"/>
        <family val="2"/>
      </rPr>
      <t>K</t>
    </r>
    <r>
      <rPr>
        <vertAlign val="subscript"/>
        <sz val="12"/>
        <color indexed="57"/>
        <rFont val="Arial"/>
        <family val="2"/>
      </rPr>
      <t>NO,H</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fe</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HCO</t>
    </r>
    <r>
      <rPr>
        <sz val="12"/>
        <color indexed="8"/>
        <rFont val="Arial"/>
        <family val="2"/>
      </rPr>
      <t>/(</t>
    </r>
    <r>
      <rPr>
        <i/>
        <sz val="12"/>
        <color indexed="57"/>
        <rFont val="Arial"/>
        <family val="2"/>
      </rPr>
      <t>K</t>
    </r>
    <r>
      <rPr>
        <vertAlign val="subscript"/>
        <sz val="12"/>
        <color indexed="57"/>
        <rFont val="Arial"/>
        <family val="2"/>
      </rPr>
      <t>HCO,H</t>
    </r>
    <r>
      <rPr>
        <sz val="12"/>
        <color indexed="8"/>
        <rFont val="Arial"/>
        <family val="2"/>
      </rPr>
      <t>+</t>
    </r>
    <r>
      <rPr>
        <i/>
        <sz val="12"/>
        <color indexed="8"/>
        <rFont val="Arial"/>
        <family val="2"/>
      </rPr>
      <t>S</t>
    </r>
    <r>
      <rPr>
        <vertAlign val="subscript"/>
        <sz val="12"/>
        <color indexed="8"/>
        <rFont val="Arial"/>
        <family val="2"/>
      </rPr>
      <t>HCO</t>
    </r>
    <r>
      <rPr>
        <sz val="12"/>
        <color indexed="8"/>
        <rFont val="Arial"/>
        <family val="2"/>
      </rPr>
      <t>)]*</t>
    </r>
    <r>
      <rPr>
        <i/>
        <sz val="12"/>
        <color indexed="8"/>
        <rFont val="Arial"/>
        <family val="2"/>
      </rPr>
      <t>X</t>
    </r>
    <r>
      <rPr>
        <vertAlign val="subscript"/>
        <sz val="12"/>
        <color indexed="8"/>
        <rFont val="Arial"/>
        <family val="2"/>
      </rPr>
      <t>H</t>
    </r>
  </si>
  <si>
    <r>
      <t>i</t>
    </r>
    <r>
      <rPr>
        <vertAlign val="subscript"/>
        <sz val="12"/>
        <color indexed="8"/>
        <rFont val="Arial"/>
        <family val="2"/>
      </rPr>
      <t>N,BM</t>
    </r>
    <r>
      <rPr>
        <i/>
        <sz val="12"/>
        <color indexed="8"/>
        <rFont val="Arial"/>
        <family val="2"/>
      </rPr>
      <t>-i</t>
    </r>
    <r>
      <rPr>
        <vertAlign val="subscript"/>
        <sz val="12"/>
        <color indexed="8"/>
        <rFont val="Arial"/>
        <family val="2"/>
      </rPr>
      <t>N,XI</t>
    </r>
    <r>
      <rPr>
        <sz val="12"/>
        <color indexed="8"/>
        <rFont val="Arial"/>
        <family val="2"/>
      </rPr>
      <t>*</t>
    </r>
    <r>
      <rPr>
        <i/>
        <sz val="12"/>
        <color indexed="8"/>
        <rFont val="Arial"/>
        <family val="2"/>
      </rPr>
      <t>f</t>
    </r>
    <r>
      <rPr>
        <vertAlign val="subscript"/>
        <sz val="12"/>
        <color indexed="8"/>
        <rFont val="Arial"/>
        <family val="2"/>
      </rPr>
      <t>XI,H</t>
    </r>
    <r>
      <rPr>
        <sz val="12"/>
        <color indexed="8"/>
        <rFont val="Arial"/>
        <family val="2"/>
      </rPr>
      <t>-</t>
    </r>
    <r>
      <rPr>
        <i/>
        <sz val="12"/>
        <color indexed="8"/>
        <rFont val="Arial"/>
        <family val="2"/>
      </rPr>
      <t>i</t>
    </r>
    <r>
      <rPr>
        <vertAlign val="subscript"/>
        <sz val="12"/>
        <color indexed="8"/>
        <rFont val="Arial"/>
        <family val="2"/>
      </rPr>
      <t>N,XS</t>
    </r>
    <r>
      <rPr>
        <i/>
        <sz val="12"/>
        <color indexed="8"/>
        <rFont val="Arial"/>
        <family val="2"/>
      </rPr>
      <t>*</t>
    </r>
    <r>
      <rPr>
        <sz val="12"/>
        <color indexed="8"/>
        <rFont val="Arial"/>
        <family val="2"/>
      </rPr>
      <t>(1-</t>
    </r>
    <r>
      <rPr>
        <i/>
        <sz val="12"/>
        <color indexed="8"/>
        <rFont val="Arial"/>
        <family val="2"/>
      </rPr>
      <t>f</t>
    </r>
    <r>
      <rPr>
        <vertAlign val="subscript"/>
        <sz val="12"/>
        <color indexed="8"/>
        <rFont val="Arial"/>
        <family val="2"/>
      </rPr>
      <t>XI,H</t>
    </r>
    <r>
      <rPr>
        <sz val="12"/>
        <color indexed="8"/>
        <rFont val="Arial"/>
        <family val="2"/>
      </rPr>
      <t>)</t>
    </r>
  </si>
  <si>
    <r>
      <t>i</t>
    </r>
    <r>
      <rPr>
        <vertAlign val="subscript"/>
        <sz val="12"/>
        <color indexed="8"/>
        <rFont val="Arial"/>
        <family val="2"/>
      </rPr>
      <t>P,BM</t>
    </r>
    <r>
      <rPr>
        <i/>
        <sz val="12"/>
        <color indexed="8"/>
        <rFont val="Arial"/>
        <family val="2"/>
      </rPr>
      <t>-i</t>
    </r>
    <r>
      <rPr>
        <vertAlign val="subscript"/>
        <sz val="12"/>
        <color indexed="8"/>
        <rFont val="Arial"/>
        <family val="2"/>
      </rPr>
      <t>P,XI</t>
    </r>
    <r>
      <rPr>
        <sz val="12"/>
        <color indexed="8"/>
        <rFont val="Arial"/>
        <family val="2"/>
      </rPr>
      <t>*</t>
    </r>
    <r>
      <rPr>
        <i/>
        <sz val="12"/>
        <color indexed="8"/>
        <rFont val="Arial"/>
        <family val="2"/>
      </rPr>
      <t>f</t>
    </r>
    <r>
      <rPr>
        <vertAlign val="subscript"/>
        <sz val="12"/>
        <color indexed="8"/>
        <rFont val="Arial"/>
        <family val="2"/>
      </rPr>
      <t>XI,H</t>
    </r>
    <r>
      <rPr>
        <sz val="12"/>
        <color indexed="8"/>
        <rFont val="Arial"/>
        <family val="2"/>
      </rPr>
      <t>-</t>
    </r>
    <r>
      <rPr>
        <i/>
        <sz val="12"/>
        <color indexed="8"/>
        <rFont val="Arial"/>
        <family val="2"/>
      </rPr>
      <t>i</t>
    </r>
    <r>
      <rPr>
        <vertAlign val="subscript"/>
        <sz val="12"/>
        <color indexed="8"/>
        <rFont val="Arial"/>
        <family val="2"/>
      </rPr>
      <t>P,XS</t>
    </r>
    <r>
      <rPr>
        <i/>
        <sz val="12"/>
        <color indexed="8"/>
        <rFont val="Arial"/>
        <family val="2"/>
      </rPr>
      <t>*</t>
    </r>
    <r>
      <rPr>
        <sz val="12"/>
        <color indexed="8"/>
        <rFont val="Arial"/>
        <family val="2"/>
      </rPr>
      <t>(1-</t>
    </r>
    <r>
      <rPr>
        <i/>
        <sz val="12"/>
        <color indexed="8"/>
        <rFont val="Arial"/>
        <family val="2"/>
      </rPr>
      <t>f</t>
    </r>
    <r>
      <rPr>
        <vertAlign val="subscript"/>
        <sz val="12"/>
        <color indexed="8"/>
        <rFont val="Arial"/>
        <family val="2"/>
      </rPr>
      <t>XI,H</t>
    </r>
    <r>
      <rPr>
        <sz val="12"/>
        <color indexed="8"/>
        <rFont val="Arial"/>
        <family val="2"/>
      </rPr>
      <t>)</t>
    </r>
  </si>
  <si>
    <r>
      <t>v</t>
    </r>
    <r>
      <rPr>
        <vertAlign val="subscript"/>
        <sz val="12"/>
        <color indexed="8"/>
        <rFont val="Arial"/>
        <family val="2"/>
      </rPr>
      <t>9_SNH</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9_SPO</t>
    </r>
    <r>
      <rPr>
        <sz val="12"/>
        <color indexed="8"/>
        <rFont val="Arial"/>
        <family val="2"/>
      </rPr>
      <t>*</t>
    </r>
    <r>
      <rPr>
        <i/>
        <sz val="12"/>
        <color indexed="8"/>
        <rFont val="Arial"/>
        <family val="2"/>
      </rPr>
      <t>i</t>
    </r>
    <r>
      <rPr>
        <vertAlign val="subscript"/>
        <sz val="12"/>
        <color indexed="8"/>
        <rFont val="Arial"/>
        <family val="2"/>
      </rPr>
      <t>Charge_PO4</t>
    </r>
  </si>
  <si>
    <r>
      <t>1-</t>
    </r>
    <r>
      <rPr>
        <i/>
        <sz val="12"/>
        <color indexed="8"/>
        <rFont val="Arial"/>
        <family val="2"/>
      </rPr>
      <t>f</t>
    </r>
    <r>
      <rPr>
        <vertAlign val="subscript"/>
        <sz val="12"/>
        <color indexed="8"/>
        <rFont val="Arial"/>
        <family val="2"/>
      </rPr>
      <t>XI,H</t>
    </r>
  </si>
  <si>
    <r>
      <t>i</t>
    </r>
    <r>
      <rPr>
        <vertAlign val="subscript"/>
        <sz val="12"/>
        <color indexed="8"/>
        <rFont val="Arial"/>
        <family val="2"/>
      </rPr>
      <t>TSS,XI</t>
    </r>
    <r>
      <rPr>
        <i/>
        <sz val="12"/>
        <color indexed="8"/>
        <rFont val="Arial"/>
        <family val="2"/>
      </rPr>
      <t>*f</t>
    </r>
    <r>
      <rPr>
        <vertAlign val="subscript"/>
        <sz val="12"/>
        <color indexed="8"/>
        <rFont val="Arial"/>
        <family val="2"/>
      </rPr>
      <t>XI,H</t>
    </r>
    <r>
      <rPr>
        <sz val="12"/>
        <color indexed="8"/>
        <rFont val="Arial"/>
        <family val="2"/>
      </rPr>
      <t>+</t>
    </r>
    <r>
      <rPr>
        <i/>
        <sz val="12"/>
        <color indexed="8"/>
        <rFont val="Arial"/>
        <family val="2"/>
      </rPr>
      <t>i</t>
    </r>
    <r>
      <rPr>
        <vertAlign val="subscript"/>
        <sz val="12"/>
        <color indexed="8"/>
        <rFont val="Arial"/>
        <family val="2"/>
      </rPr>
      <t>TSS,XS</t>
    </r>
    <r>
      <rPr>
        <sz val="12"/>
        <color indexed="8"/>
        <rFont val="Arial"/>
        <family val="2"/>
      </rPr>
      <t>*</t>
    </r>
    <r>
      <rPr>
        <i/>
        <sz val="12"/>
        <color indexed="8"/>
        <rFont val="Arial"/>
        <family val="2"/>
      </rPr>
      <t>(</t>
    </r>
    <r>
      <rPr>
        <sz val="12"/>
        <color indexed="8"/>
        <rFont val="Arial"/>
        <family val="2"/>
      </rPr>
      <t>1-</t>
    </r>
    <r>
      <rPr>
        <i/>
        <sz val="12"/>
        <color indexed="8"/>
        <rFont val="Arial"/>
        <family val="2"/>
      </rPr>
      <t>f</t>
    </r>
    <r>
      <rPr>
        <vertAlign val="subscript"/>
        <sz val="12"/>
        <color indexed="8"/>
        <rFont val="Arial"/>
        <family val="2"/>
      </rPr>
      <t>XI,H</t>
    </r>
    <r>
      <rPr>
        <sz val="12"/>
        <color indexed="8"/>
        <rFont val="Arial"/>
        <family val="2"/>
      </rPr>
      <t>)-</t>
    </r>
    <r>
      <rPr>
        <i/>
        <sz val="12"/>
        <color indexed="8"/>
        <rFont val="Arial"/>
        <family val="2"/>
      </rPr>
      <t>i</t>
    </r>
    <r>
      <rPr>
        <vertAlign val="subscript"/>
        <sz val="12"/>
        <color indexed="8"/>
        <rFont val="Arial"/>
        <family val="2"/>
      </rPr>
      <t>TSS,BM</t>
    </r>
  </si>
  <si>
    <r>
      <t>b</t>
    </r>
    <r>
      <rPr>
        <vertAlign val="subscript"/>
        <sz val="12"/>
        <color indexed="8"/>
        <rFont val="Arial"/>
        <family val="2"/>
      </rPr>
      <t>H</t>
    </r>
    <r>
      <rPr>
        <sz val="12"/>
        <color indexed="8"/>
        <rFont val="Arial"/>
        <family val="2"/>
      </rPr>
      <t>*</t>
    </r>
    <r>
      <rPr>
        <i/>
        <sz val="12"/>
        <color indexed="8"/>
        <rFont val="Arial"/>
        <family val="2"/>
      </rPr>
      <t>X</t>
    </r>
    <r>
      <rPr>
        <vertAlign val="subscript"/>
        <sz val="12"/>
        <color indexed="8"/>
        <rFont val="Arial"/>
        <family val="2"/>
      </rPr>
      <t>H</t>
    </r>
  </si>
  <si>
    <r>
      <t>Anaerobic Storage of S</t>
    </r>
    <r>
      <rPr>
        <b/>
        <vertAlign val="subscript"/>
        <sz val="12"/>
        <color indexed="8"/>
        <rFont val="Arial"/>
        <family val="2"/>
      </rPr>
      <t>A</t>
    </r>
  </si>
  <si>
    <r>
      <t>v</t>
    </r>
    <r>
      <rPr>
        <vertAlign val="subscript"/>
        <sz val="12"/>
        <color indexed="8"/>
        <rFont val="Arial"/>
        <family val="2"/>
      </rPr>
      <t>10_SPO</t>
    </r>
    <r>
      <rPr>
        <i/>
        <sz val="12"/>
        <color indexed="8"/>
        <rFont val="Arial"/>
        <family val="2"/>
      </rPr>
      <t>*i</t>
    </r>
    <r>
      <rPr>
        <vertAlign val="subscript"/>
        <sz val="12"/>
        <color indexed="8"/>
        <rFont val="Arial"/>
        <family val="2"/>
      </rPr>
      <t>Charge_PO4</t>
    </r>
    <r>
      <rPr>
        <sz val="12"/>
        <color indexed="8"/>
        <rFont val="Arial"/>
        <family val="2"/>
      </rPr>
      <t>-</t>
    </r>
    <r>
      <rPr>
        <i/>
        <sz val="12"/>
        <color indexed="8"/>
        <rFont val="Arial"/>
        <family val="2"/>
      </rPr>
      <t>i</t>
    </r>
    <r>
      <rPr>
        <vertAlign val="subscript"/>
        <sz val="12"/>
        <color indexed="8"/>
        <rFont val="Arial"/>
        <family val="2"/>
      </rPr>
      <t>Charge_Ac</t>
    </r>
    <r>
      <rPr>
        <sz val="12"/>
        <color indexed="8"/>
        <rFont val="Arial"/>
        <family val="2"/>
      </rPr>
      <t>+</t>
    </r>
    <r>
      <rPr>
        <i/>
        <sz val="12"/>
        <color indexed="8"/>
        <rFont val="Arial"/>
        <family val="2"/>
      </rPr>
      <t>v</t>
    </r>
    <r>
      <rPr>
        <vertAlign val="subscript"/>
        <sz val="12"/>
        <color indexed="8"/>
        <rFont val="Arial"/>
        <family val="2"/>
      </rPr>
      <t>10_XPP</t>
    </r>
    <r>
      <rPr>
        <sz val="12"/>
        <color indexed="8"/>
        <rFont val="Arial"/>
        <family val="2"/>
      </rPr>
      <t>*</t>
    </r>
    <r>
      <rPr>
        <i/>
        <sz val="12"/>
        <color indexed="8"/>
        <rFont val="Arial"/>
        <family val="2"/>
      </rPr>
      <t>i</t>
    </r>
    <r>
      <rPr>
        <vertAlign val="subscript"/>
        <sz val="12"/>
        <color indexed="8"/>
        <rFont val="Arial"/>
        <family val="2"/>
      </rPr>
      <t>Charge_XPAO,PP</t>
    </r>
  </si>
  <si>
    <r>
      <t>-</t>
    </r>
    <r>
      <rPr>
        <i/>
        <sz val="12"/>
        <color indexed="8"/>
        <rFont val="Arial"/>
        <family val="2"/>
      </rPr>
      <t>Y</t>
    </r>
    <r>
      <rPr>
        <vertAlign val="subscript"/>
        <sz val="12"/>
        <color indexed="8"/>
        <rFont val="Arial"/>
        <family val="2"/>
      </rPr>
      <t>PO,AN</t>
    </r>
  </si>
  <si>
    <r>
      <t>1-</t>
    </r>
    <r>
      <rPr>
        <i/>
        <sz val="12"/>
        <color indexed="8"/>
        <rFont val="Arial"/>
        <family val="2"/>
      </rPr>
      <t>Y</t>
    </r>
    <r>
      <rPr>
        <vertAlign val="subscript"/>
        <sz val="12"/>
        <color indexed="8"/>
        <rFont val="Arial"/>
        <family val="2"/>
      </rPr>
      <t>SA,AN</t>
    </r>
  </si>
  <si>
    <r>
      <t>i</t>
    </r>
    <r>
      <rPr>
        <vertAlign val="subscript"/>
        <sz val="12"/>
        <color indexed="8"/>
        <rFont val="Arial"/>
        <family val="2"/>
      </rPr>
      <t>TSS,PP</t>
    </r>
    <r>
      <rPr>
        <sz val="12"/>
        <color indexed="8"/>
        <rFont val="Arial"/>
        <family val="2"/>
      </rPr>
      <t>*(</t>
    </r>
    <r>
      <rPr>
        <i/>
        <sz val="12"/>
        <color indexed="8"/>
        <rFont val="Arial"/>
        <family val="2"/>
      </rPr>
      <t>-Y</t>
    </r>
    <r>
      <rPr>
        <vertAlign val="subscript"/>
        <sz val="12"/>
        <color indexed="8"/>
        <rFont val="Arial"/>
        <family val="2"/>
      </rPr>
      <t>PO,AN</t>
    </r>
    <r>
      <rPr>
        <i/>
        <sz val="12"/>
        <color indexed="8"/>
        <rFont val="Arial"/>
        <family val="2"/>
      </rPr>
      <t>)</t>
    </r>
    <r>
      <rPr>
        <sz val="12"/>
        <color indexed="8"/>
        <rFont val="Arial"/>
        <family val="2"/>
      </rPr>
      <t>+</t>
    </r>
    <r>
      <rPr>
        <i/>
        <sz val="12"/>
        <color indexed="8"/>
        <rFont val="Arial"/>
        <family val="2"/>
      </rPr>
      <t>i</t>
    </r>
    <r>
      <rPr>
        <vertAlign val="subscript"/>
        <sz val="12"/>
        <color indexed="8"/>
        <rFont val="Arial"/>
        <family val="2"/>
      </rPr>
      <t>TSS,PHA</t>
    </r>
    <r>
      <rPr>
        <sz val="12"/>
        <color indexed="8"/>
        <rFont val="Arial"/>
        <family val="2"/>
      </rPr>
      <t>*</t>
    </r>
    <r>
      <rPr>
        <i/>
        <sz val="12"/>
        <color indexed="8"/>
        <rFont val="Arial"/>
        <family val="2"/>
      </rPr>
      <t>Y</t>
    </r>
    <r>
      <rPr>
        <vertAlign val="subscript"/>
        <sz val="12"/>
        <color indexed="8"/>
        <rFont val="Arial"/>
        <family val="2"/>
      </rPr>
      <t>SA,AN</t>
    </r>
    <r>
      <rPr>
        <sz val="12"/>
        <color indexed="8"/>
        <rFont val="Arial"/>
        <family val="2"/>
      </rPr>
      <t>+</t>
    </r>
    <r>
      <rPr>
        <i/>
        <sz val="12"/>
        <color indexed="8"/>
        <rFont val="Arial"/>
        <family val="2"/>
      </rPr>
      <t>i</t>
    </r>
    <r>
      <rPr>
        <vertAlign val="subscript"/>
        <sz val="12"/>
        <color indexed="8"/>
        <rFont val="Arial"/>
        <family val="2"/>
      </rPr>
      <t>TSS,GLY</t>
    </r>
    <r>
      <rPr>
        <sz val="12"/>
        <color indexed="8"/>
        <rFont val="Arial"/>
        <family val="2"/>
      </rPr>
      <t>*(1-</t>
    </r>
    <r>
      <rPr>
        <i/>
        <sz val="12"/>
        <color indexed="8"/>
        <rFont val="Arial"/>
        <family val="2"/>
      </rPr>
      <t>Y</t>
    </r>
    <r>
      <rPr>
        <vertAlign val="subscript"/>
        <sz val="12"/>
        <color indexed="8"/>
        <rFont val="Arial"/>
        <family val="2"/>
      </rPr>
      <t>SA,AN</t>
    </r>
    <r>
      <rPr>
        <sz val="12"/>
        <color indexed="8"/>
        <rFont val="Arial"/>
        <family val="2"/>
      </rPr>
      <t>)</t>
    </r>
  </si>
  <si>
    <r>
      <t>q</t>
    </r>
    <r>
      <rPr>
        <vertAlign val="subscript"/>
        <sz val="12"/>
        <color indexed="8"/>
        <rFont val="Arial"/>
        <family val="2"/>
      </rPr>
      <t>Ac</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57"/>
        <rFont val="Arial"/>
        <family val="2"/>
      </rPr>
      <t>K</t>
    </r>
    <r>
      <rPr>
        <vertAlign val="subscript"/>
        <sz val="12"/>
        <color indexed="57"/>
        <rFont val="Arial"/>
        <family val="2"/>
      </rPr>
      <t>Ac</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57"/>
        <rFont val="Arial"/>
        <family val="2"/>
      </rPr>
      <t>K</t>
    </r>
    <r>
      <rPr>
        <vertAlign val="subscript"/>
        <sz val="12"/>
        <color indexed="57"/>
        <rFont val="Arial"/>
        <family val="2"/>
      </rPr>
      <t>O,PAO</t>
    </r>
    <r>
      <rPr>
        <sz val="12"/>
        <color indexed="8"/>
        <rFont val="Arial"/>
        <family val="2"/>
      </rPr>
      <t>/(</t>
    </r>
    <r>
      <rPr>
        <i/>
        <sz val="12"/>
        <color indexed="57"/>
        <rFont val="Arial"/>
        <family val="2"/>
      </rPr>
      <t>K</t>
    </r>
    <r>
      <rPr>
        <vertAlign val="subscript"/>
        <sz val="12"/>
        <color indexed="57"/>
        <rFont val="Arial"/>
        <family val="2"/>
      </rPr>
      <t>O,PAO</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57"/>
        <rFont val="Arial"/>
        <family val="2"/>
      </rPr>
      <t>K</t>
    </r>
    <r>
      <rPr>
        <vertAlign val="subscript"/>
        <sz val="12"/>
        <color indexed="57"/>
        <rFont val="Arial"/>
        <family val="2"/>
      </rPr>
      <t>NO,PAO</t>
    </r>
    <r>
      <rPr>
        <sz val="12"/>
        <color indexed="8"/>
        <rFont val="Arial"/>
        <family val="2"/>
      </rPr>
      <t>/(</t>
    </r>
    <r>
      <rPr>
        <i/>
        <sz val="12"/>
        <color indexed="57"/>
        <rFont val="Arial"/>
        <family val="2"/>
      </rPr>
      <t>K</t>
    </r>
    <r>
      <rPr>
        <vertAlign val="subscript"/>
        <sz val="12"/>
        <color indexed="57"/>
        <rFont val="Arial"/>
        <family val="2"/>
      </rPr>
      <t>NO,PAO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8"/>
        <rFont val="Arial"/>
        <family val="2"/>
      </rPr>
      <t>X</t>
    </r>
    <r>
      <rPr>
        <vertAlign val="subscript"/>
        <sz val="12"/>
        <color indexed="8"/>
        <rFont val="Arial"/>
        <family val="2"/>
      </rPr>
      <t>GLY</t>
    </r>
    <r>
      <rPr>
        <sz val="12"/>
        <color indexed="8"/>
        <rFont val="Arial"/>
        <family val="2"/>
      </rPr>
      <t>/(</t>
    </r>
    <r>
      <rPr>
        <i/>
        <sz val="12"/>
        <color indexed="8"/>
        <rFont val="Arial"/>
        <family val="2"/>
      </rPr>
      <t>K</t>
    </r>
    <r>
      <rPr>
        <vertAlign val="subscript"/>
        <sz val="12"/>
        <color indexed="8"/>
        <rFont val="Arial"/>
        <family val="2"/>
      </rPr>
      <t>GLY</t>
    </r>
    <r>
      <rPr>
        <sz val="12"/>
        <color indexed="8"/>
        <rFont val="Arial"/>
        <family val="2"/>
      </rPr>
      <t>+</t>
    </r>
    <r>
      <rPr>
        <i/>
        <sz val="12"/>
        <color indexed="8"/>
        <rFont val="Arial"/>
        <family val="2"/>
      </rPr>
      <t>X</t>
    </r>
    <r>
      <rPr>
        <vertAlign val="subscript"/>
        <sz val="12"/>
        <color indexed="8"/>
        <rFont val="Arial"/>
        <family val="2"/>
      </rPr>
      <t>GLY</t>
    </r>
    <r>
      <rPr>
        <sz val="12"/>
        <color indexed="8"/>
        <rFont val="Arial"/>
        <family val="2"/>
      </rPr>
      <t>)]*[</t>
    </r>
    <r>
      <rPr>
        <i/>
        <sz val="12"/>
        <color indexed="8"/>
        <rFont val="Arial"/>
        <family val="2"/>
      </rPr>
      <t>X</t>
    </r>
    <r>
      <rPr>
        <vertAlign val="subscript"/>
        <sz val="12"/>
        <color indexed="8"/>
        <rFont val="Arial"/>
        <family val="2"/>
      </rPr>
      <t>PP</t>
    </r>
    <r>
      <rPr>
        <sz val="12"/>
        <color indexed="8"/>
        <rFont val="Arial"/>
        <family val="2"/>
      </rPr>
      <t>/(</t>
    </r>
    <r>
      <rPr>
        <i/>
        <sz val="12"/>
        <color indexed="8"/>
        <rFont val="Arial"/>
        <family val="2"/>
      </rPr>
      <t>K</t>
    </r>
    <r>
      <rPr>
        <vertAlign val="subscript"/>
        <sz val="12"/>
        <color indexed="8"/>
        <rFont val="Arial"/>
        <family val="2"/>
      </rPr>
      <t>PP</t>
    </r>
    <r>
      <rPr>
        <sz val="12"/>
        <color indexed="8"/>
        <rFont val="Arial"/>
        <family val="2"/>
      </rPr>
      <t>+</t>
    </r>
    <r>
      <rPr>
        <i/>
        <sz val="12"/>
        <color indexed="8"/>
        <rFont val="Arial"/>
        <family val="2"/>
      </rPr>
      <t>X</t>
    </r>
    <r>
      <rPr>
        <vertAlign val="subscript"/>
        <sz val="12"/>
        <color indexed="8"/>
        <rFont val="Arial"/>
        <family val="2"/>
      </rPr>
      <t>PP</t>
    </r>
    <r>
      <rPr>
        <sz val="12"/>
        <color indexed="8"/>
        <rFont val="Arial"/>
        <family val="2"/>
      </rPr>
      <t>)]*</t>
    </r>
    <r>
      <rPr>
        <i/>
        <sz val="12"/>
        <color indexed="8"/>
        <rFont val="Arial"/>
        <family val="2"/>
      </rPr>
      <t>X</t>
    </r>
    <r>
      <rPr>
        <vertAlign val="subscript"/>
        <sz val="12"/>
        <color indexed="8"/>
        <rFont val="Arial"/>
        <family val="2"/>
      </rPr>
      <t>PAO</t>
    </r>
  </si>
  <si>
    <r>
      <t>-</t>
    </r>
    <r>
      <rPr>
        <i/>
        <sz val="12"/>
        <color indexed="8"/>
        <rFont val="Arial"/>
        <family val="2"/>
      </rPr>
      <t>i</t>
    </r>
    <r>
      <rPr>
        <vertAlign val="subscript"/>
        <sz val="12"/>
        <color indexed="8"/>
        <rFont val="Arial"/>
        <family val="2"/>
      </rPr>
      <t>TSS,PP</t>
    </r>
  </si>
  <si>
    <r>
      <t>m</t>
    </r>
    <r>
      <rPr>
        <vertAlign val="subscript"/>
        <sz val="12"/>
        <color indexed="8"/>
        <rFont val="Arial"/>
        <family val="2"/>
      </rPr>
      <t>AN</t>
    </r>
    <r>
      <rPr>
        <sz val="12"/>
        <color indexed="8"/>
        <rFont val="Arial"/>
        <family val="2"/>
      </rPr>
      <t>*[</t>
    </r>
    <r>
      <rPr>
        <i/>
        <sz val="12"/>
        <color indexed="57"/>
        <rFont val="Arial"/>
        <family val="2"/>
      </rPr>
      <t>K</t>
    </r>
    <r>
      <rPr>
        <vertAlign val="subscript"/>
        <sz val="12"/>
        <color indexed="57"/>
        <rFont val="Arial"/>
        <family val="2"/>
      </rPr>
      <t>O,PAO</t>
    </r>
    <r>
      <rPr>
        <sz val="12"/>
        <color indexed="8"/>
        <rFont val="Arial"/>
        <family val="2"/>
      </rPr>
      <t>/(</t>
    </r>
    <r>
      <rPr>
        <i/>
        <sz val="12"/>
        <color indexed="57"/>
        <rFont val="Arial"/>
        <family val="2"/>
      </rPr>
      <t>K</t>
    </r>
    <r>
      <rPr>
        <vertAlign val="subscript"/>
        <sz val="12"/>
        <color indexed="57"/>
        <rFont val="Arial"/>
        <family val="2"/>
      </rPr>
      <t>O,PAO</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57"/>
        <rFont val="Arial"/>
        <family val="2"/>
      </rPr>
      <t>K</t>
    </r>
    <r>
      <rPr>
        <vertAlign val="subscript"/>
        <sz val="12"/>
        <color indexed="57"/>
        <rFont val="Arial"/>
        <family val="2"/>
      </rPr>
      <t>NO,PAO</t>
    </r>
    <r>
      <rPr>
        <sz val="12"/>
        <color indexed="8"/>
        <rFont val="Arial"/>
        <family val="2"/>
      </rPr>
      <t>/(</t>
    </r>
    <r>
      <rPr>
        <i/>
        <sz val="12"/>
        <color indexed="57"/>
        <rFont val="Arial"/>
        <family val="2"/>
      </rPr>
      <t>K</t>
    </r>
    <r>
      <rPr>
        <vertAlign val="subscript"/>
        <sz val="12"/>
        <color indexed="57"/>
        <rFont val="Arial"/>
        <family val="2"/>
      </rPr>
      <t>NO,PAO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8"/>
        <rFont val="Arial"/>
        <family val="2"/>
      </rPr>
      <t>X</t>
    </r>
    <r>
      <rPr>
        <vertAlign val="subscript"/>
        <sz val="12"/>
        <color indexed="8"/>
        <rFont val="Arial"/>
        <family val="2"/>
      </rPr>
      <t>PP</t>
    </r>
    <r>
      <rPr>
        <sz val="12"/>
        <color indexed="8"/>
        <rFont val="Arial"/>
        <family val="2"/>
      </rPr>
      <t>/(</t>
    </r>
    <r>
      <rPr>
        <i/>
        <sz val="12"/>
        <color indexed="8"/>
        <rFont val="Arial"/>
        <family val="2"/>
      </rPr>
      <t>K</t>
    </r>
    <r>
      <rPr>
        <vertAlign val="subscript"/>
        <sz val="12"/>
        <color indexed="8"/>
        <rFont val="Arial"/>
        <family val="2"/>
      </rPr>
      <t>PP</t>
    </r>
    <r>
      <rPr>
        <sz val="12"/>
        <color indexed="8"/>
        <rFont val="Arial"/>
        <family val="2"/>
      </rPr>
      <t>+</t>
    </r>
    <r>
      <rPr>
        <i/>
        <sz val="12"/>
        <color indexed="8"/>
        <rFont val="Arial"/>
        <family val="2"/>
      </rPr>
      <t>X</t>
    </r>
    <r>
      <rPr>
        <vertAlign val="subscript"/>
        <sz val="12"/>
        <color indexed="8"/>
        <rFont val="Arial"/>
        <family val="2"/>
      </rPr>
      <t>PP</t>
    </r>
    <r>
      <rPr>
        <sz val="12"/>
        <color indexed="8"/>
        <rFont val="Arial"/>
        <family val="2"/>
      </rPr>
      <t>)]*</t>
    </r>
    <r>
      <rPr>
        <i/>
        <sz val="12"/>
        <color indexed="8"/>
        <rFont val="Arial"/>
        <family val="2"/>
      </rPr>
      <t>X</t>
    </r>
    <r>
      <rPr>
        <vertAlign val="subscript"/>
        <sz val="12"/>
        <color indexed="8"/>
        <rFont val="Arial"/>
        <family val="2"/>
      </rPr>
      <t>PAO</t>
    </r>
  </si>
  <si>
    <r>
      <t>Anoxic storage of S</t>
    </r>
    <r>
      <rPr>
        <b/>
        <vertAlign val="subscript"/>
        <sz val="12"/>
        <color indexed="8"/>
        <rFont val="Arial"/>
        <family val="2"/>
      </rPr>
      <t>A</t>
    </r>
  </si>
  <si>
    <r>
      <t>-(1-</t>
    </r>
    <r>
      <rPr>
        <i/>
        <sz val="12"/>
        <color indexed="8"/>
        <rFont val="Arial"/>
        <family val="2"/>
      </rPr>
      <t>Y</t>
    </r>
    <r>
      <rPr>
        <vertAlign val="subscript"/>
        <sz val="12"/>
        <color indexed="8"/>
        <rFont val="Arial"/>
        <family val="2"/>
      </rPr>
      <t>SA,NO</t>
    </r>
    <r>
      <rPr>
        <sz val="12"/>
        <color indexed="8"/>
        <rFont val="Arial"/>
        <family val="2"/>
      </rPr>
      <t>)/</t>
    </r>
    <r>
      <rPr>
        <i/>
        <sz val="12"/>
        <color indexed="8"/>
        <rFont val="Arial"/>
        <family val="2"/>
      </rPr>
      <t>i</t>
    </r>
    <r>
      <rPr>
        <vertAlign val="subscript"/>
        <sz val="12"/>
        <color indexed="8"/>
        <rFont val="Arial"/>
        <family val="2"/>
      </rPr>
      <t>NOx,N2</t>
    </r>
  </si>
  <si>
    <r>
      <t>(1-</t>
    </r>
    <r>
      <rPr>
        <i/>
        <sz val="12"/>
        <color indexed="8"/>
        <rFont val="Arial"/>
        <family val="2"/>
      </rPr>
      <t>Y</t>
    </r>
    <r>
      <rPr>
        <vertAlign val="subscript"/>
        <sz val="12"/>
        <color indexed="8"/>
        <rFont val="Arial"/>
        <family val="2"/>
      </rPr>
      <t>SA,NO</t>
    </r>
    <r>
      <rPr>
        <sz val="12"/>
        <color indexed="8"/>
        <rFont val="Arial"/>
        <family val="2"/>
      </rPr>
      <t>)/</t>
    </r>
    <r>
      <rPr>
        <i/>
        <sz val="12"/>
        <color indexed="8"/>
        <rFont val="Arial"/>
        <family val="2"/>
      </rPr>
      <t>i</t>
    </r>
    <r>
      <rPr>
        <vertAlign val="subscript"/>
        <sz val="12"/>
        <color indexed="8"/>
        <rFont val="Arial"/>
        <family val="2"/>
      </rPr>
      <t>NOx,N2</t>
    </r>
  </si>
  <si>
    <r>
      <t>v</t>
    </r>
    <r>
      <rPr>
        <vertAlign val="subscript"/>
        <sz val="12"/>
        <color indexed="8"/>
        <rFont val="Arial"/>
        <family val="2"/>
      </rPr>
      <t>12_SPO</t>
    </r>
    <r>
      <rPr>
        <i/>
        <sz val="12"/>
        <color indexed="8"/>
        <rFont val="Arial"/>
        <family val="2"/>
      </rPr>
      <t>*i</t>
    </r>
    <r>
      <rPr>
        <vertAlign val="subscript"/>
        <sz val="12"/>
        <color indexed="8"/>
        <rFont val="Arial"/>
        <family val="2"/>
      </rPr>
      <t>Charge_PO4</t>
    </r>
    <r>
      <rPr>
        <i/>
        <sz val="12"/>
        <color indexed="8"/>
        <rFont val="Arial"/>
        <family val="2"/>
      </rPr>
      <t>-i</t>
    </r>
    <r>
      <rPr>
        <vertAlign val="subscript"/>
        <sz val="12"/>
        <color indexed="8"/>
        <rFont val="Arial"/>
        <family val="2"/>
      </rPr>
      <t>Charge_Ac</t>
    </r>
    <r>
      <rPr>
        <i/>
        <sz val="12"/>
        <color indexed="8"/>
        <rFont val="Arial"/>
        <family val="2"/>
      </rPr>
      <t>+v</t>
    </r>
    <r>
      <rPr>
        <vertAlign val="subscript"/>
        <sz val="12"/>
        <color indexed="8"/>
        <rFont val="Arial"/>
        <family val="2"/>
      </rPr>
      <t>12_XPP</t>
    </r>
    <r>
      <rPr>
        <i/>
        <sz val="12"/>
        <color indexed="8"/>
        <rFont val="Arial"/>
        <family val="2"/>
      </rPr>
      <t>*i</t>
    </r>
    <r>
      <rPr>
        <vertAlign val="subscript"/>
        <sz val="12"/>
        <color indexed="8"/>
        <rFont val="Arial"/>
        <family val="2"/>
      </rPr>
      <t>Charge_XPAO,PP</t>
    </r>
    <r>
      <rPr>
        <i/>
        <sz val="12"/>
        <color indexed="8"/>
        <rFont val="Arial"/>
        <family val="2"/>
      </rPr>
      <t>+v</t>
    </r>
    <r>
      <rPr>
        <vertAlign val="subscript"/>
        <sz val="12"/>
        <color indexed="8"/>
        <rFont val="Arial"/>
        <family val="2"/>
      </rPr>
      <t>12_SNO</t>
    </r>
    <r>
      <rPr>
        <i/>
        <sz val="12"/>
        <color indexed="8"/>
        <rFont val="Arial"/>
        <family val="2"/>
      </rPr>
      <t>*i</t>
    </r>
    <r>
      <rPr>
        <vertAlign val="subscript"/>
        <sz val="12"/>
        <color indexed="8"/>
        <rFont val="Arial"/>
        <family val="2"/>
      </rPr>
      <t>Charge_NOx</t>
    </r>
  </si>
  <si>
    <r>
      <t>-</t>
    </r>
    <r>
      <rPr>
        <i/>
        <sz val="12"/>
        <color indexed="8"/>
        <rFont val="Arial"/>
        <family val="2"/>
      </rPr>
      <t>Y</t>
    </r>
    <r>
      <rPr>
        <vertAlign val="subscript"/>
        <sz val="12"/>
        <color indexed="8"/>
        <rFont val="Arial"/>
        <family val="2"/>
      </rPr>
      <t>PO,NO</t>
    </r>
  </si>
  <si>
    <r>
      <t>i</t>
    </r>
    <r>
      <rPr>
        <vertAlign val="subscript"/>
        <sz val="12"/>
        <color indexed="8"/>
        <rFont val="Arial"/>
        <family val="2"/>
      </rPr>
      <t>TSS,PP</t>
    </r>
    <r>
      <rPr>
        <sz val="12"/>
        <color indexed="8"/>
        <rFont val="Arial"/>
        <family val="2"/>
      </rPr>
      <t>*(</t>
    </r>
    <r>
      <rPr>
        <i/>
        <sz val="12"/>
        <color indexed="8"/>
        <rFont val="Arial"/>
        <family val="2"/>
      </rPr>
      <t>-Y</t>
    </r>
    <r>
      <rPr>
        <vertAlign val="subscript"/>
        <sz val="12"/>
        <color indexed="8"/>
        <rFont val="Arial"/>
        <family val="2"/>
      </rPr>
      <t>PO,NO</t>
    </r>
    <r>
      <rPr>
        <i/>
        <sz val="12"/>
        <color indexed="8"/>
        <rFont val="Arial"/>
        <family val="2"/>
      </rPr>
      <t>)</t>
    </r>
    <r>
      <rPr>
        <sz val="12"/>
        <color indexed="8"/>
        <rFont val="Arial"/>
        <family val="2"/>
      </rPr>
      <t>+</t>
    </r>
    <r>
      <rPr>
        <i/>
        <sz val="12"/>
        <color indexed="8"/>
        <rFont val="Arial"/>
        <family val="2"/>
      </rPr>
      <t>i</t>
    </r>
    <r>
      <rPr>
        <vertAlign val="subscript"/>
        <sz val="12"/>
        <color indexed="8"/>
        <rFont val="Arial"/>
        <family val="2"/>
      </rPr>
      <t>TSS,PHA</t>
    </r>
    <r>
      <rPr>
        <sz val="12"/>
        <color indexed="8"/>
        <rFont val="Arial"/>
        <family val="2"/>
      </rPr>
      <t>*</t>
    </r>
    <r>
      <rPr>
        <i/>
        <sz val="12"/>
        <color indexed="8"/>
        <rFont val="Arial"/>
        <family val="2"/>
      </rPr>
      <t>Y</t>
    </r>
    <r>
      <rPr>
        <vertAlign val="subscript"/>
        <sz val="12"/>
        <color indexed="8"/>
        <rFont val="Arial"/>
        <family val="2"/>
      </rPr>
      <t>SA,NO</t>
    </r>
  </si>
  <si>
    <r>
      <t>q</t>
    </r>
    <r>
      <rPr>
        <vertAlign val="subscript"/>
        <sz val="12"/>
        <color indexed="8"/>
        <rFont val="Arial"/>
        <family val="2"/>
      </rPr>
      <t>Ac,NO</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57"/>
        <rFont val="Arial"/>
        <family val="2"/>
      </rPr>
      <t>K</t>
    </r>
    <r>
      <rPr>
        <vertAlign val="subscript"/>
        <sz val="12"/>
        <color indexed="57"/>
        <rFont val="Arial"/>
        <family val="2"/>
      </rPr>
      <t>Ac</t>
    </r>
    <r>
      <rPr>
        <sz val="12"/>
        <color indexed="8"/>
        <rFont val="Arial"/>
        <family val="2"/>
      </rPr>
      <t>+</t>
    </r>
    <r>
      <rPr>
        <i/>
        <sz val="12"/>
        <color indexed="8"/>
        <rFont val="Arial"/>
        <family val="2"/>
      </rPr>
      <t>S</t>
    </r>
    <r>
      <rPr>
        <vertAlign val="subscript"/>
        <sz val="12"/>
        <color indexed="8"/>
        <rFont val="Arial"/>
        <family val="2"/>
      </rPr>
      <t>A</t>
    </r>
    <r>
      <rPr>
        <sz val="12"/>
        <color indexed="8"/>
        <rFont val="Arial"/>
        <family val="2"/>
      </rPr>
      <t>)]*[</t>
    </r>
    <r>
      <rPr>
        <i/>
        <sz val="12"/>
        <color indexed="57"/>
        <rFont val="Arial"/>
        <family val="2"/>
      </rPr>
      <t>K</t>
    </r>
    <r>
      <rPr>
        <vertAlign val="subscript"/>
        <sz val="12"/>
        <color indexed="57"/>
        <rFont val="Arial"/>
        <family val="2"/>
      </rPr>
      <t>O,PAO</t>
    </r>
    <r>
      <rPr>
        <sz val="12"/>
        <color indexed="8"/>
        <rFont val="Arial"/>
        <family val="2"/>
      </rPr>
      <t>/(</t>
    </r>
    <r>
      <rPr>
        <i/>
        <sz val="12"/>
        <color indexed="57"/>
        <rFont val="Arial"/>
        <family val="2"/>
      </rPr>
      <t>K</t>
    </r>
    <r>
      <rPr>
        <vertAlign val="subscript"/>
        <sz val="12"/>
        <color indexed="57"/>
        <rFont val="Arial"/>
        <family val="2"/>
      </rPr>
      <t>O,PAO</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57"/>
        <rFont val="Arial"/>
        <family val="2"/>
      </rPr>
      <t>K</t>
    </r>
    <r>
      <rPr>
        <vertAlign val="subscript"/>
        <sz val="12"/>
        <color indexed="57"/>
        <rFont val="Arial"/>
        <family val="2"/>
      </rPr>
      <t>NO,PAO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8"/>
        <rFont val="Arial"/>
        <family val="2"/>
      </rPr>
      <t>X</t>
    </r>
    <r>
      <rPr>
        <vertAlign val="subscript"/>
        <sz val="12"/>
        <color indexed="8"/>
        <rFont val="Arial"/>
        <family val="2"/>
      </rPr>
      <t>PP</t>
    </r>
    <r>
      <rPr>
        <sz val="12"/>
        <color indexed="8"/>
        <rFont val="Arial"/>
        <family val="2"/>
      </rPr>
      <t>/(</t>
    </r>
    <r>
      <rPr>
        <i/>
        <sz val="12"/>
        <color indexed="8"/>
        <rFont val="Arial"/>
        <family val="2"/>
      </rPr>
      <t>K</t>
    </r>
    <r>
      <rPr>
        <vertAlign val="subscript"/>
        <sz val="12"/>
        <color indexed="8"/>
        <rFont val="Arial"/>
        <family val="2"/>
      </rPr>
      <t>PP</t>
    </r>
    <r>
      <rPr>
        <sz val="12"/>
        <color indexed="8"/>
        <rFont val="Arial"/>
        <family val="2"/>
      </rPr>
      <t>+</t>
    </r>
    <r>
      <rPr>
        <i/>
        <sz val="12"/>
        <color indexed="8"/>
        <rFont val="Arial"/>
        <family val="2"/>
      </rPr>
      <t>X</t>
    </r>
    <r>
      <rPr>
        <vertAlign val="subscript"/>
        <sz val="12"/>
        <color indexed="8"/>
        <rFont val="Arial"/>
        <family val="2"/>
      </rPr>
      <t>PP</t>
    </r>
    <r>
      <rPr>
        <sz val="12"/>
        <color indexed="8"/>
        <rFont val="Arial"/>
        <family val="2"/>
      </rPr>
      <t>]*</t>
    </r>
    <r>
      <rPr>
        <i/>
        <sz val="12"/>
        <color indexed="8"/>
        <rFont val="Arial"/>
        <family val="2"/>
      </rPr>
      <t>X</t>
    </r>
    <r>
      <rPr>
        <vertAlign val="subscript"/>
        <sz val="12"/>
        <color indexed="8"/>
        <rFont val="Arial"/>
        <family val="2"/>
      </rPr>
      <t>PAO</t>
    </r>
  </si>
  <si>
    <r>
      <t>-</t>
    </r>
    <r>
      <rPr>
        <i/>
        <sz val="12"/>
        <color indexed="8"/>
        <rFont val="Arial"/>
        <family val="2"/>
      </rPr>
      <t>i</t>
    </r>
    <r>
      <rPr>
        <vertAlign val="subscript"/>
        <sz val="12"/>
        <color indexed="8"/>
        <rFont val="Arial"/>
        <family val="2"/>
      </rPr>
      <t>N,BM</t>
    </r>
    <r>
      <rPr>
        <i/>
        <sz val="12"/>
        <color indexed="8"/>
        <rFont val="Arial"/>
        <family val="2"/>
      </rPr>
      <t>/Y</t>
    </r>
    <r>
      <rPr>
        <vertAlign val="subscript"/>
        <sz val="12"/>
        <color indexed="8"/>
        <rFont val="Arial"/>
        <family val="2"/>
      </rPr>
      <t>PHA,NO</t>
    </r>
  </si>
  <si>
    <r>
      <t>-(1-1/</t>
    </r>
    <r>
      <rPr>
        <i/>
        <sz val="12"/>
        <color indexed="8"/>
        <rFont val="Arial"/>
        <family val="2"/>
      </rPr>
      <t>Y</t>
    </r>
    <r>
      <rPr>
        <vertAlign val="subscript"/>
        <sz val="12"/>
        <color indexed="8"/>
        <rFont val="Arial"/>
        <family val="2"/>
      </rPr>
      <t>PHA,NO</t>
    </r>
    <r>
      <rPr>
        <sz val="12"/>
        <color indexed="8"/>
        <rFont val="Arial"/>
        <family val="2"/>
      </rPr>
      <t>)/</t>
    </r>
    <r>
      <rPr>
        <i/>
        <sz val="12"/>
        <color indexed="8"/>
        <rFont val="Arial"/>
        <family val="2"/>
      </rPr>
      <t>i</t>
    </r>
    <r>
      <rPr>
        <vertAlign val="subscript"/>
        <sz val="12"/>
        <color indexed="8"/>
        <rFont val="Arial"/>
        <family val="2"/>
      </rPr>
      <t>NOx,N2</t>
    </r>
  </si>
  <si>
    <r>
      <t>(1-1/</t>
    </r>
    <r>
      <rPr>
        <i/>
        <sz val="12"/>
        <color indexed="8"/>
        <rFont val="Arial"/>
        <family val="2"/>
      </rPr>
      <t>Y</t>
    </r>
    <r>
      <rPr>
        <vertAlign val="subscript"/>
        <sz val="12"/>
        <color indexed="8"/>
        <rFont val="Arial"/>
        <family val="2"/>
      </rPr>
      <t>PHA,NO</t>
    </r>
    <r>
      <rPr>
        <sz val="12"/>
        <color indexed="8"/>
        <rFont val="Arial"/>
        <family val="2"/>
      </rPr>
      <t>)/</t>
    </r>
    <r>
      <rPr>
        <i/>
        <sz val="12"/>
        <color indexed="8"/>
        <rFont val="Arial"/>
        <family val="2"/>
      </rPr>
      <t>i</t>
    </r>
    <r>
      <rPr>
        <vertAlign val="subscript"/>
        <sz val="12"/>
        <color indexed="8"/>
        <rFont val="Arial"/>
        <family val="2"/>
      </rPr>
      <t>NOx,N2</t>
    </r>
  </si>
  <si>
    <r>
      <t>-</t>
    </r>
    <r>
      <rPr>
        <i/>
        <sz val="12"/>
        <color indexed="8"/>
        <rFont val="Arial"/>
        <family val="2"/>
      </rPr>
      <t>i</t>
    </r>
    <r>
      <rPr>
        <vertAlign val="subscript"/>
        <sz val="12"/>
        <color indexed="8"/>
        <rFont val="Arial"/>
        <family val="2"/>
      </rPr>
      <t>P,BM</t>
    </r>
    <r>
      <rPr>
        <i/>
        <sz val="12"/>
        <color indexed="8"/>
        <rFont val="Arial"/>
        <family val="2"/>
      </rPr>
      <t>/Y</t>
    </r>
    <r>
      <rPr>
        <vertAlign val="subscript"/>
        <sz val="12"/>
        <color indexed="8"/>
        <rFont val="Arial"/>
        <family val="2"/>
      </rPr>
      <t>PHA,NO</t>
    </r>
  </si>
  <si>
    <r>
      <t>v</t>
    </r>
    <r>
      <rPr>
        <vertAlign val="subscript"/>
        <sz val="12"/>
        <color indexed="8"/>
        <rFont val="Arial"/>
        <family val="2"/>
      </rPr>
      <t>13_SNH</t>
    </r>
    <r>
      <rPr>
        <i/>
        <sz val="12"/>
        <color indexed="8"/>
        <rFont val="Arial"/>
        <family val="2"/>
      </rPr>
      <t>*i</t>
    </r>
    <r>
      <rPr>
        <vertAlign val="subscript"/>
        <sz val="12"/>
        <color indexed="8"/>
        <rFont val="Arial"/>
        <family val="2"/>
      </rPr>
      <t>Charge_NHx</t>
    </r>
    <r>
      <rPr>
        <i/>
        <sz val="12"/>
        <color indexed="8"/>
        <rFont val="Arial"/>
        <family val="2"/>
      </rPr>
      <t>+v</t>
    </r>
    <r>
      <rPr>
        <vertAlign val="subscript"/>
        <sz val="12"/>
        <color indexed="8"/>
        <rFont val="Arial"/>
        <family val="2"/>
      </rPr>
      <t>13_SPO</t>
    </r>
    <r>
      <rPr>
        <i/>
        <sz val="12"/>
        <color indexed="8"/>
        <rFont val="Arial"/>
        <family val="2"/>
      </rPr>
      <t>*i</t>
    </r>
    <r>
      <rPr>
        <vertAlign val="subscript"/>
        <sz val="12"/>
        <color indexed="8"/>
        <rFont val="Arial"/>
        <family val="2"/>
      </rPr>
      <t>Charge_PO4</t>
    </r>
    <r>
      <rPr>
        <i/>
        <sz val="12"/>
        <color indexed="8"/>
        <rFont val="Arial"/>
        <family val="2"/>
      </rPr>
      <t>+v</t>
    </r>
    <r>
      <rPr>
        <vertAlign val="subscript"/>
        <sz val="12"/>
        <color indexed="8"/>
        <rFont val="Arial"/>
        <family val="2"/>
      </rPr>
      <t>13_SNO</t>
    </r>
    <r>
      <rPr>
        <i/>
        <sz val="12"/>
        <color indexed="8"/>
        <rFont val="Arial"/>
        <family val="2"/>
      </rPr>
      <t>*i</t>
    </r>
    <r>
      <rPr>
        <vertAlign val="subscript"/>
        <sz val="12"/>
        <color indexed="8"/>
        <rFont val="Arial"/>
        <family val="2"/>
      </rPr>
      <t>Charge_NOx</t>
    </r>
  </si>
  <si>
    <r>
      <t>1/</t>
    </r>
    <r>
      <rPr>
        <i/>
        <sz val="12"/>
        <color indexed="8"/>
        <rFont val="Arial"/>
        <family val="2"/>
      </rPr>
      <t>Y</t>
    </r>
    <r>
      <rPr>
        <vertAlign val="subscript"/>
        <sz val="12"/>
        <color indexed="8"/>
        <rFont val="Arial"/>
        <family val="2"/>
      </rPr>
      <t>PHA,NO</t>
    </r>
  </si>
  <si>
    <r>
      <t>i</t>
    </r>
    <r>
      <rPr>
        <vertAlign val="subscript"/>
        <sz val="12"/>
        <color indexed="8"/>
        <rFont val="Arial"/>
        <family val="2"/>
      </rPr>
      <t>TSS,BM</t>
    </r>
    <r>
      <rPr>
        <i/>
        <sz val="12"/>
        <color indexed="8"/>
        <rFont val="Arial"/>
        <family val="2"/>
      </rPr>
      <t>/Y</t>
    </r>
    <r>
      <rPr>
        <vertAlign val="subscript"/>
        <sz val="12"/>
        <color indexed="8"/>
        <rFont val="Arial"/>
        <family val="2"/>
      </rPr>
      <t>PHA,NO</t>
    </r>
    <r>
      <rPr>
        <sz val="12"/>
        <color indexed="8"/>
        <rFont val="Arial"/>
        <family val="2"/>
      </rPr>
      <t>-</t>
    </r>
    <r>
      <rPr>
        <i/>
        <sz val="12"/>
        <color indexed="8"/>
        <rFont val="Arial"/>
        <family val="2"/>
      </rPr>
      <t>i</t>
    </r>
    <r>
      <rPr>
        <vertAlign val="subscript"/>
        <sz val="12"/>
        <color indexed="8"/>
        <rFont val="Arial"/>
        <family val="2"/>
      </rPr>
      <t>TSS,PHA</t>
    </r>
  </si>
  <si>
    <r>
      <t>k</t>
    </r>
    <r>
      <rPr>
        <vertAlign val="subscript"/>
        <sz val="12"/>
        <color indexed="8"/>
        <rFont val="Arial"/>
        <family val="2"/>
      </rPr>
      <t>PHA</t>
    </r>
    <r>
      <rPr>
        <sz val="12"/>
        <color indexed="8"/>
        <rFont val="Arial"/>
        <family val="2"/>
      </rPr>
      <t>*</t>
    </r>
    <r>
      <rPr>
        <i/>
        <sz val="12"/>
        <color indexed="57"/>
        <rFont val="Arial"/>
        <family val="2"/>
      </rPr>
      <t>η</t>
    </r>
    <r>
      <rPr>
        <vertAlign val="subscript"/>
        <sz val="12"/>
        <color indexed="57"/>
        <rFont val="Arial"/>
        <family val="2"/>
      </rPr>
      <t>NO,PAO</t>
    </r>
    <r>
      <rPr>
        <sz val="12"/>
        <color indexed="8"/>
        <rFont val="Arial"/>
        <family val="2"/>
      </rPr>
      <t>*[</t>
    </r>
    <r>
      <rPr>
        <i/>
        <sz val="12"/>
        <color indexed="57"/>
        <rFont val="Arial"/>
        <family val="2"/>
      </rPr>
      <t>K</t>
    </r>
    <r>
      <rPr>
        <vertAlign val="subscript"/>
        <sz val="12"/>
        <color indexed="57"/>
        <rFont val="Arial"/>
        <family val="2"/>
      </rPr>
      <t>O,PAO</t>
    </r>
    <r>
      <rPr>
        <sz val="12"/>
        <color indexed="8"/>
        <rFont val="Arial"/>
        <family val="2"/>
      </rPr>
      <t>/(</t>
    </r>
    <r>
      <rPr>
        <i/>
        <sz val="12"/>
        <color indexed="57"/>
        <rFont val="Arial"/>
        <family val="2"/>
      </rPr>
      <t>K</t>
    </r>
    <r>
      <rPr>
        <vertAlign val="subscript"/>
        <sz val="12"/>
        <color indexed="57"/>
        <rFont val="Arial"/>
        <family val="2"/>
      </rPr>
      <t>O,PAO</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NH</t>
    </r>
    <r>
      <rPr>
        <sz val="12"/>
        <color indexed="8"/>
        <rFont val="Arial"/>
        <family val="2"/>
      </rPr>
      <t>/(</t>
    </r>
    <r>
      <rPr>
        <i/>
        <sz val="12"/>
        <color indexed="57"/>
        <rFont val="Arial"/>
        <family val="2"/>
      </rPr>
      <t>K</t>
    </r>
    <r>
      <rPr>
        <vertAlign val="subscript"/>
        <sz val="12"/>
        <color indexed="57"/>
        <rFont val="Arial"/>
        <family val="2"/>
      </rPr>
      <t>N,PAO</t>
    </r>
    <r>
      <rPr>
        <sz val="12"/>
        <color indexed="8"/>
        <rFont val="Arial"/>
        <family val="2"/>
      </rPr>
      <t>+</t>
    </r>
    <r>
      <rPr>
        <i/>
        <sz val="12"/>
        <color indexed="8"/>
        <rFont val="Arial"/>
        <family val="2"/>
      </rPr>
      <t>S</t>
    </r>
    <r>
      <rPr>
        <vertAlign val="subscript"/>
        <sz val="12"/>
        <color indexed="8"/>
        <rFont val="Arial"/>
        <family val="2"/>
      </rPr>
      <t>NH</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57"/>
        <rFont val="Arial"/>
        <family val="2"/>
      </rPr>
      <t>K</t>
    </r>
    <r>
      <rPr>
        <vertAlign val="subscript"/>
        <sz val="12"/>
        <color indexed="57"/>
        <rFont val="Arial"/>
        <family val="2"/>
      </rPr>
      <t>NO,PAO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8"/>
        <rFont val="Arial"/>
        <family val="2"/>
      </rPr>
      <t>S</t>
    </r>
    <r>
      <rPr>
        <vertAlign val="subscript"/>
        <sz val="12"/>
        <color indexed="8"/>
        <rFont val="Arial"/>
        <family val="2"/>
      </rPr>
      <t>PO</t>
    </r>
    <r>
      <rPr>
        <sz val="12"/>
        <color indexed="8"/>
        <rFont val="Arial"/>
        <family val="2"/>
      </rPr>
      <t>/(</t>
    </r>
    <r>
      <rPr>
        <i/>
        <sz val="12"/>
        <color indexed="57"/>
        <rFont val="Arial"/>
        <family val="2"/>
      </rPr>
      <t>K</t>
    </r>
    <r>
      <rPr>
        <vertAlign val="subscript"/>
        <sz val="12"/>
        <color indexed="57"/>
        <rFont val="Arial"/>
        <family val="2"/>
      </rPr>
      <t>P,PAO</t>
    </r>
    <r>
      <rPr>
        <sz val="12"/>
        <color indexed="8"/>
        <rFont val="Arial"/>
        <family val="2"/>
      </rPr>
      <t>+</t>
    </r>
    <r>
      <rPr>
        <i/>
        <sz val="12"/>
        <color indexed="8"/>
        <rFont val="Arial"/>
        <family val="2"/>
      </rPr>
      <t>S</t>
    </r>
    <r>
      <rPr>
        <vertAlign val="subscript"/>
        <sz val="12"/>
        <color indexed="8"/>
        <rFont val="Arial"/>
        <family val="2"/>
      </rPr>
      <t>PO</t>
    </r>
    <r>
      <rPr>
        <sz val="12"/>
        <color indexed="8"/>
        <rFont val="Arial"/>
        <family val="2"/>
      </rPr>
      <t>)]*[</t>
    </r>
    <r>
      <rPr>
        <i/>
        <sz val="12"/>
        <color indexed="8"/>
        <rFont val="Arial"/>
        <family val="2"/>
      </rPr>
      <t>S</t>
    </r>
    <r>
      <rPr>
        <vertAlign val="subscript"/>
        <sz val="12"/>
        <color indexed="8"/>
        <rFont val="Arial"/>
        <family val="2"/>
      </rPr>
      <t>HCO</t>
    </r>
    <r>
      <rPr>
        <sz val="12"/>
        <color indexed="8"/>
        <rFont val="Arial"/>
        <family val="2"/>
      </rPr>
      <t>/(</t>
    </r>
    <r>
      <rPr>
        <i/>
        <sz val="12"/>
        <color indexed="57"/>
        <rFont val="Arial"/>
        <family val="2"/>
      </rPr>
      <t>K</t>
    </r>
    <r>
      <rPr>
        <vertAlign val="subscript"/>
        <sz val="12"/>
        <color indexed="57"/>
        <rFont val="Arial"/>
        <family val="2"/>
      </rPr>
      <t>HCO,PAO</t>
    </r>
    <r>
      <rPr>
        <sz val="12"/>
        <color indexed="8"/>
        <rFont val="Arial"/>
        <family val="2"/>
      </rPr>
      <t>+</t>
    </r>
    <r>
      <rPr>
        <i/>
        <sz val="12"/>
        <color indexed="8"/>
        <rFont val="Arial"/>
        <family val="2"/>
      </rPr>
      <t>S</t>
    </r>
    <r>
      <rPr>
        <vertAlign val="subscript"/>
        <sz val="12"/>
        <color indexed="8"/>
        <rFont val="Arial"/>
        <family val="2"/>
      </rPr>
      <t>HCO</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fPHA</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</si>
  <si>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Anoxic Storage of X</t>
    </r>
    <r>
      <rPr>
        <b/>
        <vertAlign val="subscript"/>
        <sz val="12"/>
        <color indexed="8"/>
        <rFont val="Arial"/>
        <family val="2"/>
      </rPr>
      <t>PP</t>
    </r>
  </si>
  <si>
    <r>
      <t>i</t>
    </r>
    <r>
      <rPr>
        <vertAlign val="subscript"/>
        <sz val="12"/>
        <color indexed="8"/>
        <rFont val="Arial"/>
        <family val="2"/>
      </rPr>
      <t>N,BM</t>
    </r>
    <r>
      <rPr>
        <i/>
        <sz val="12"/>
        <color indexed="8"/>
        <rFont val="Arial"/>
        <family val="2"/>
      </rPr>
      <t>/Y</t>
    </r>
    <r>
      <rPr>
        <vertAlign val="subscript"/>
        <sz val="12"/>
        <color indexed="8"/>
        <rFont val="Arial"/>
        <family val="2"/>
      </rPr>
      <t>PP,NO</t>
    </r>
  </si>
  <si>
    <r>
      <t>-(1/</t>
    </r>
    <r>
      <rPr>
        <i/>
        <sz val="12"/>
        <color indexed="8"/>
        <rFont val="Arial"/>
        <family val="2"/>
      </rPr>
      <t>Y</t>
    </r>
    <r>
      <rPr>
        <vertAlign val="subscript"/>
        <sz val="12"/>
        <color indexed="8"/>
        <rFont val="Arial"/>
        <family val="2"/>
      </rPr>
      <t>PP,NO</t>
    </r>
    <r>
      <rPr>
        <sz val="12"/>
        <color indexed="8"/>
        <rFont val="Arial"/>
        <family val="2"/>
      </rPr>
      <t>)/</t>
    </r>
    <r>
      <rPr>
        <i/>
        <sz val="12"/>
        <color indexed="8"/>
        <rFont val="Arial"/>
        <family val="2"/>
      </rPr>
      <t>i</t>
    </r>
    <r>
      <rPr>
        <vertAlign val="subscript"/>
        <sz val="12"/>
        <color indexed="8"/>
        <rFont val="Arial"/>
        <family val="2"/>
      </rPr>
      <t>NOx,N2</t>
    </r>
  </si>
  <si>
    <r>
      <t>(1/</t>
    </r>
    <r>
      <rPr>
        <i/>
        <sz val="12"/>
        <color indexed="8"/>
        <rFont val="Arial"/>
        <family val="2"/>
      </rPr>
      <t>Y</t>
    </r>
    <r>
      <rPr>
        <vertAlign val="subscript"/>
        <sz val="12"/>
        <color indexed="8"/>
        <rFont val="Arial"/>
        <family val="2"/>
      </rPr>
      <t>PP,NO</t>
    </r>
    <r>
      <rPr>
        <sz val="12"/>
        <color indexed="8"/>
        <rFont val="Arial"/>
        <family val="2"/>
      </rPr>
      <t>)/</t>
    </r>
    <r>
      <rPr>
        <i/>
        <sz val="12"/>
        <color indexed="8"/>
        <rFont val="Arial"/>
        <family val="2"/>
      </rPr>
      <t>i</t>
    </r>
    <r>
      <rPr>
        <vertAlign val="subscript"/>
        <sz val="12"/>
        <color indexed="8"/>
        <rFont val="Arial"/>
        <family val="2"/>
      </rPr>
      <t>NOx,N2</t>
    </r>
  </si>
  <si>
    <r>
      <t>i</t>
    </r>
    <r>
      <rPr>
        <vertAlign val="subscript"/>
        <sz val="12"/>
        <color indexed="8"/>
        <rFont val="Arial"/>
        <family val="2"/>
      </rPr>
      <t>P,BM</t>
    </r>
    <r>
      <rPr>
        <i/>
        <sz val="12"/>
        <color indexed="8"/>
        <rFont val="Arial"/>
        <family val="2"/>
      </rPr>
      <t>/Y</t>
    </r>
    <r>
      <rPr>
        <vertAlign val="subscript"/>
        <sz val="12"/>
        <color indexed="8"/>
        <rFont val="Arial"/>
        <family val="2"/>
      </rPr>
      <t>PP,NO</t>
    </r>
    <r>
      <rPr>
        <sz val="12"/>
        <color indexed="8"/>
        <rFont val="Arial"/>
        <family val="2"/>
      </rPr>
      <t>-1</t>
    </r>
  </si>
  <si>
    <r>
      <t>v</t>
    </r>
    <r>
      <rPr>
        <vertAlign val="subscript"/>
        <sz val="12"/>
        <color indexed="8"/>
        <rFont val="Arial"/>
        <family val="2"/>
      </rPr>
      <t>14_SNH</t>
    </r>
    <r>
      <rPr>
        <i/>
        <sz val="12"/>
        <color indexed="8"/>
        <rFont val="Arial"/>
        <family val="2"/>
      </rPr>
      <t>*i</t>
    </r>
    <r>
      <rPr>
        <vertAlign val="subscript"/>
        <sz val="12"/>
        <color indexed="8"/>
        <rFont val="Arial"/>
        <family val="2"/>
      </rPr>
      <t>Charge_NHx</t>
    </r>
    <r>
      <rPr>
        <i/>
        <sz val="12"/>
        <color indexed="8"/>
        <rFont val="Arial"/>
        <family val="2"/>
      </rPr>
      <t>+v</t>
    </r>
    <r>
      <rPr>
        <vertAlign val="subscript"/>
        <sz val="12"/>
        <color indexed="8"/>
        <rFont val="Arial"/>
        <family val="2"/>
      </rPr>
      <t>14_SPO</t>
    </r>
    <r>
      <rPr>
        <i/>
        <sz val="12"/>
        <color indexed="8"/>
        <rFont val="Arial"/>
        <family val="2"/>
      </rPr>
      <t>*i</t>
    </r>
    <r>
      <rPr>
        <vertAlign val="subscript"/>
        <sz val="12"/>
        <color indexed="8"/>
        <rFont val="Arial"/>
        <family val="2"/>
      </rPr>
      <t>Charge_PO4</t>
    </r>
    <r>
      <rPr>
        <i/>
        <sz val="12"/>
        <color indexed="8"/>
        <rFont val="Arial"/>
        <family val="2"/>
      </rPr>
      <t>+v</t>
    </r>
    <r>
      <rPr>
        <vertAlign val="subscript"/>
        <sz val="12"/>
        <color indexed="8"/>
        <rFont val="Arial"/>
        <family val="2"/>
      </rPr>
      <t>14_SNO</t>
    </r>
    <r>
      <rPr>
        <i/>
        <sz val="12"/>
        <color indexed="8"/>
        <rFont val="Arial"/>
        <family val="2"/>
      </rPr>
      <t>*i</t>
    </r>
    <r>
      <rPr>
        <vertAlign val="subscript"/>
        <sz val="12"/>
        <color indexed="8"/>
        <rFont val="Arial"/>
        <family val="2"/>
      </rPr>
      <t>Charge_NOx</t>
    </r>
    <r>
      <rPr>
        <i/>
        <sz val="12"/>
        <color indexed="8"/>
        <rFont val="Arial"/>
        <family val="2"/>
      </rPr>
      <t>+i</t>
    </r>
    <r>
      <rPr>
        <vertAlign val="subscript"/>
        <sz val="12"/>
        <color indexed="8"/>
        <rFont val="Arial"/>
        <family val="2"/>
      </rPr>
      <t>Charge_XPAO,PP</t>
    </r>
  </si>
  <si>
    <r>
      <t>-1/</t>
    </r>
    <r>
      <rPr>
        <i/>
        <sz val="12"/>
        <color indexed="8"/>
        <rFont val="Arial"/>
        <family val="2"/>
      </rPr>
      <t>Y</t>
    </r>
    <r>
      <rPr>
        <vertAlign val="subscript"/>
        <sz val="12"/>
        <color indexed="8"/>
        <rFont val="Arial"/>
        <family val="2"/>
      </rPr>
      <t>PP,NO</t>
    </r>
  </si>
  <si>
    <r>
      <t>-</t>
    </r>
    <r>
      <rPr>
        <i/>
        <sz val="12"/>
        <color indexed="8"/>
        <rFont val="Arial"/>
        <family val="2"/>
      </rPr>
      <t>i</t>
    </r>
    <r>
      <rPr>
        <vertAlign val="subscript"/>
        <sz val="12"/>
        <color indexed="8"/>
        <rFont val="Arial"/>
        <family val="2"/>
      </rPr>
      <t>TSS,BM</t>
    </r>
    <r>
      <rPr>
        <i/>
        <sz val="12"/>
        <color indexed="8"/>
        <rFont val="Arial"/>
        <family val="2"/>
      </rPr>
      <t>/Y</t>
    </r>
    <r>
      <rPr>
        <vertAlign val="subscript"/>
        <sz val="12"/>
        <color indexed="8"/>
        <rFont val="Arial"/>
        <family val="2"/>
      </rPr>
      <t>PP,NO</t>
    </r>
    <r>
      <rPr>
        <sz val="12"/>
        <color indexed="8"/>
        <rFont val="Arial"/>
        <family val="2"/>
      </rPr>
      <t>+</t>
    </r>
    <r>
      <rPr>
        <i/>
        <sz val="12"/>
        <color indexed="8"/>
        <rFont val="Arial"/>
        <family val="2"/>
      </rPr>
      <t>i</t>
    </r>
    <r>
      <rPr>
        <vertAlign val="subscript"/>
        <sz val="12"/>
        <color indexed="8"/>
        <rFont val="Arial"/>
        <family val="2"/>
      </rPr>
      <t>TSS,PP</t>
    </r>
  </si>
  <si>
    <r>
      <t>k</t>
    </r>
    <r>
      <rPr>
        <vertAlign val="subscript"/>
        <sz val="12"/>
        <color indexed="8"/>
        <rFont val="Arial"/>
        <family val="2"/>
      </rPr>
      <t>PP</t>
    </r>
    <r>
      <rPr>
        <sz val="12"/>
        <color indexed="8"/>
        <rFont val="Arial"/>
        <family val="2"/>
      </rPr>
      <t>*</t>
    </r>
    <r>
      <rPr>
        <i/>
        <sz val="12"/>
        <color indexed="57"/>
        <rFont val="Arial"/>
        <family val="2"/>
      </rPr>
      <t>η</t>
    </r>
    <r>
      <rPr>
        <vertAlign val="subscript"/>
        <sz val="12"/>
        <color indexed="57"/>
        <rFont val="Arial"/>
        <family val="2"/>
      </rPr>
      <t>NO,PAO</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PP</t>
    </r>
    <r>
      <rPr>
        <sz val="12"/>
        <color indexed="8"/>
        <rFont val="Arial"/>
        <family val="2"/>
      </rPr>
      <t>]*[</t>
    </r>
    <r>
      <rPr>
        <i/>
        <sz val="12"/>
        <color indexed="57"/>
        <rFont val="Arial"/>
        <family val="2"/>
      </rPr>
      <t>K</t>
    </r>
    <r>
      <rPr>
        <vertAlign val="subscript"/>
        <sz val="12"/>
        <color indexed="57"/>
        <rFont val="Arial"/>
        <family val="2"/>
      </rPr>
      <t>O,PAO</t>
    </r>
    <r>
      <rPr>
        <sz val="12"/>
        <color indexed="8"/>
        <rFont val="Arial"/>
        <family val="2"/>
      </rPr>
      <t>/(</t>
    </r>
    <r>
      <rPr>
        <i/>
        <sz val="12"/>
        <color indexed="57"/>
        <rFont val="Arial"/>
        <family val="2"/>
      </rPr>
      <t>K</t>
    </r>
    <r>
      <rPr>
        <vertAlign val="subscript"/>
        <sz val="12"/>
        <color indexed="57"/>
        <rFont val="Arial"/>
        <family val="2"/>
      </rPr>
      <t>O,PAO</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8"/>
        <rFont val="Arial"/>
        <family val="2"/>
      </rPr>
      <t>g</t>
    </r>
    <r>
      <rPr>
        <vertAlign val="subscript"/>
        <sz val="12"/>
        <color indexed="8"/>
        <rFont val="Arial"/>
        <family val="2"/>
      </rPr>
      <t>PP</t>
    </r>
    <r>
      <rPr>
        <sz val="12"/>
        <color indexed="8"/>
        <rFont val="Arial"/>
        <family val="2"/>
      </rPr>
      <t>*</t>
    </r>
    <r>
      <rPr>
        <i/>
        <sz val="12"/>
        <color indexed="57"/>
        <rFont val="Arial"/>
        <family val="2"/>
      </rPr>
      <t>K</t>
    </r>
    <r>
      <rPr>
        <vertAlign val="subscript"/>
        <sz val="12"/>
        <color indexed="57"/>
        <rFont val="Arial"/>
        <family val="2"/>
      </rPr>
      <t>NO,PAO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8"/>
        <rFont val="Arial"/>
        <family val="2"/>
      </rPr>
      <t>S</t>
    </r>
    <r>
      <rPr>
        <vertAlign val="subscript"/>
        <sz val="12"/>
        <color indexed="8"/>
        <rFont val="Arial"/>
        <family val="2"/>
      </rPr>
      <t>PO</t>
    </r>
    <r>
      <rPr>
        <sz val="12"/>
        <color indexed="8"/>
        <rFont val="Arial"/>
        <family val="2"/>
      </rPr>
      <t>/(</t>
    </r>
    <r>
      <rPr>
        <i/>
        <sz val="12"/>
        <color indexed="57"/>
        <rFont val="Arial"/>
        <family val="2"/>
      </rPr>
      <t>K</t>
    </r>
    <r>
      <rPr>
        <vertAlign val="subscript"/>
        <sz val="12"/>
        <color indexed="57"/>
        <rFont val="Arial"/>
        <family val="2"/>
      </rPr>
      <t>P,PAO</t>
    </r>
    <r>
      <rPr>
        <sz val="12"/>
        <color indexed="8"/>
        <rFont val="Arial"/>
        <family val="2"/>
      </rPr>
      <t>+</t>
    </r>
    <r>
      <rPr>
        <i/>
        <sz val="12"/>
        <color indexed="8"/>
        <rFont val="Arial"/>
        <family val="2"/>
      </rPr>
      <t>S</t>
    </r>
    <r>
      <rPr>
        <vertAlign val="subscript"/>
        <sz val="12"/>
        <color indexed="8"/>
        <rFont val="Arial"/>
        <family val="2"/>
      </rPr>
      <t>PO</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K</t>
    </r>
    <r>
      <rPr>
        <vertAlign val="subscript"/>
        <sz val="12"/>
        <color indexed="8"/>
        <rFont val="Arial"/>
        <family val="2"/>
      </rPr>
      <t>PHA</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f</t>
    </r>
    <r>
      <rPr>
        <vertAlign val="subscript"/>
        <sz val="12"/>
        <color indexed="8"/>
        <rFont val="Arial"/>
        <family val="2"/>
      </rPr>
      <t>pp,max</t>
    </r>
    <r>
      <rPr>
        <sz val="12"/>
        <color indexed="8"/>
        <rFont val="Arial"/>
        <family val="2"/>
      </rPr>
      <t>-(</t>
    </r>
    <r>
      <rPr>
        <i/>
        <sz val="12"/>
        <color indexed="8"/>
        <rFont val="Arial"/>
        <family val="2"/>
      </rPr>
      <t>X</t>
    </r>
    <r>
      <rPr>
        <vertAlign val="subscript"/>
        <sz val="12"/>
        <color indexed="8"/>
        <rFont val="Arial"/>
        <family val="2"/>
      </rPr>
      <t>PP</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fPP</t>
    </r>
    <r>
      <rPr>
        <sz val="12"/>
        <color indexed="8"/>
        <rFont val="Arial"/>
        <family val="2"/>
      </rPr>
      <t>+(</t>
    </r>
    <r>
      <rPr>
        <i/>
        <sz val="12"/>
        <color indexed="8"/>
        <rFont val="Arial"/>
        <family val="2"/>
      </rPr>
      <t>f</t>
    </r>
    <r>
      <rPr>
        <vertAlign val="subscript"/>
        <sz val="12"/>
        <color indexed="8"/>
        <rFont val="Arial"/>
        <family val="2"/>
      </rPr>
      <t>PP,max</t>
    </r>
    <r>
      <rPr>
        <sz val="12"/>
        <color indexed="8"/>
        <rFont val="Arial"/>
        <family val="2"/>
      </rPr>
      <t>-</t>
    </r>
    <r>
      <rPr>
        <i/>
        <sz val="12"/>
        <color indexed="8"/>
        <rFont val="Arial"/>
        <family val="2"/>
      </rPr>
      <t>X</t>
    </r>
    <r>
      <rPr>
        <vertAlign val="subscript"/>
        <sz val="12"/>
        <color indexed="8"/>
        <rFont val="Arial"/>
        <family val="2"/>
      </rPr>
      <t>PP</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</si>
  <si>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i</t>
    </r>
    <r>
      <rPr>
        <vertAlign val="subscript"/>
        <sz val="12"/>
        <color indexed="8"/>
        <rFont val="Arial"/>
        <family val="2"/>
      </rPr>
      <t>N,BM</t>
    </r>
    <r>
      <rPr>
        <i/>
        <sz val="12"/>
        <color indexed="8"/>
        <rFont val="Arial"/>
        <family val="2"/>
      </rPr>
      <t>/Y</t>
    </r>
    <r>
      <rPr>
        <vertAlign val="subscript"/>
        <sz val="12"/>
        <color indexed="8"/>
        <rFont val="Arial"/>
        <family val="2"/>
      </rPr>
      <t>GLY,NO</t>
    </r>
  </si>
  <si>
    <r>
      <t>-(1/</t>
    </r>
    <r>
      <rPr>
        <i/>
        <sz val="12"/>
        <color indexed="8"/>
        <rFont val="Arial"/>
        <family val="2"/>
      </rPr>
      <t>Y</t>
    </r>
    <r>
      <rPr>
        <vertAlign val="subscript"/>
        <sz val="12"/>
        <color indexed="8"/>
        <rFont val="Arial"/>
        <family val="2"/>
      </rPr>
      <t>GLY,NO</t>
    </r>
    <r>
      <rPr>
        <sz val="12"/>
        <color indexed="8"/>
        <rFont val="Arial"/>
        <family val="2"/>
      </rPr>
      <t>-1)/</t>
    </r>
    <r>
      <rPr>
        <i/>
        <sz val="12"/>
        <color indexed="8"/>
        <rFont val="Arial"/>
        <family val="2"/>
      </rPr>
      <t>i</t>
    </r>
    <r>
      <rPr>
        <vertAlign val="subscript"/>
        <sz val="12"/>
        <color indexed="8"/>
        <rFont val="Arial"/>
        <family val="2"/>
      </rPr>
      <t>NOx,N2</t>
    </r>
  </si>
  <si>
    <r>
      <t>(1/</t>
    </r>
    <r>
      <rPr>
        <i/>
        <sz val="12"/>
        <color indexed="8"/>
        <rFont val="Arial"/>
        <family val="2"/>
      </rPr>
      <t>Y</t>
    </r>
    <r>
      <rPr>
        <vertAlign val="subscript"/>
        <sz val="12"/>
        <color indexed="8"/>
        <rFont val="Arial"/>
        <family val="2"/>
      </rPr>
      <t>GLY,NO</t>
    </r>
    <r>
      <rPr>
        <sz val="12"/>
        <color indexed="8"/>
        <rFont val="Arial"/>
        <family val="2"/>
      </rPr>
      <t>-1)/</t>
    </r>
    <r>
      <rPr>
        <i/>
        <sz val="12"/>
        <color indexed="8"/>
        <rFont val="Arial"/>
        <family val="2"/>
      </rPr>
      <t>i</t>
    </r>
    <r>
      <rPr>
        <vertAlign val="subscript"/>
        <sz val="12"/>
        <color indexed="8"/>
        <rFont val="Arial"/>
        <family val="2"/>
      </rPr>
      <t>NOx,N2</t>
    </r>
  </si>
  <si>
    <r>
      <t>i</t>
    </r>
    <r>
      <rPr>
        <vertAlign val="subscript"/>
        <sz val="12"/>
        <color indexed="8"/>
        <rFont val="Arial"/>
        <family val="2"/>
      </rPr>
      <t>P,BM</t>
    </r>
    <r>
      <rPr>
        <i/>
        <sz val="12"/>
        <color indexed="8"/>
        <rFont val="Arial"/>
        <family val="2"/>
      </rPr>
      <t>/Y</t>
    </r>
    <r>
      <rPr>
        <vertAlign val="subscript"/>
        <sz val="12"/>
        <color indexed="8"/>
        <rFont val="Arial"/>
        <family val="2"/>
      </rPr>
      <t>GLY,NO</t>
    </r>
  </si>
  <si>
    <r>
      <t>v</t>
    </r>
    <r>
      <rPr>
        <vertAlign val="subscript"/>
        <sz val="12"/>
        <color indexed="8"/>
        <rFont val="Arial"/>
        <family val="2"/>
      </rPr>
      <t>15_SNH</t>
    </r>
    <r>
      <rPr>
        <i/>
        <sz val="12"/>
        <color indexed="8"/>
        <rFont val="Arial"/>
        <family val="2"/>
      </rPr>
      <t>*i</t>
    </r>
    <r>
      <rPr>
        <vertAlign val="subscript"/>
        <sz val="12"/>
        <color indexed="8"/>
        <rFont val="Arial"/>
        <family val="2"/>
      </rPr>
      <t>Charge_NHx</t>
    </r>
    <r>
      <rPr>
        <i/>
        <sz val="12"/>
        <color indexed="8"/>
        <rFont val="Arial"/>
        <family val="2"/>
      </rPr>
      <t>+v</t>
    </r>
    <r>
      <rPr>
        <vertAlign val="subscript"/>
        <sz val="12"/>
        <color indexed="8"/>
        <rFont val="Arial"/>
        <family val="2"/>
      </rPr>
      <t>15_SPO</t>
    </r>
    <r>
      <rPr>
        <i/>
        <sz val="12"/>
        <color indexed="8"/>
        <rFont val="Arial"/>
        <family val="2"/>
      </rPr>
      <t>*i</t>
    </r>
    <r>
      <rPr>
        <vertAlign val="subscript"/>
        <sz val="12"/>
        <color indexed="8"/>
        <rFont val="Arial"/>
        <family val="2"/>
      </rPr>
      <t>Charge_PO4</t>
    </r>
    <r>
      <rPr>
        <i/>
        <sz val="12"/>
        <color indexed="8"/>
        <rFont val="Arial"/>
        <family val="2"/>
      </rPr>
      <t>+v</t>
    </r>
    <r>
      <rPr>
        <vertAlign val="subscript"/>
        <sz val="12"/>
        <color indexed="8"/>
        <rFont val="Arial"/>
        <family val="2"/>
      </rPr>
      <t>15_SNO</t>
    </r>
    <r>
      <rPr>
        <i/>
        <sz val="12"/>
        <color indexed="8"/>
        <rFont val="Arial"/>
        <family val="2"/>
      </rPr>
      <t>*i</t>
    </r>
    <r>
      <rPr>
        <vertAlign val="subscript"/>
        <sz val="12"/>
        <color indexed="8"/>
        <rFont val="Arial"/>
        <family val="2"/>
      </rPr>
      <t>Charge_NOx</t>
    </r>
  </si>
  <si>
    <r>
      <t>-1/</t>
    </r>
    <r>
      <rPr>
        <i/>
        <sz val="12"/>
        <color indexed="8"/>
        <rFont val="Arial"/>
        <family val="2"/>
      </rPr>
      <t>Y</t>
    </r>
    <r>
      <rPr>
        <vertAlign val="subscript"/>
        <sz val="12"/>
        <color indexed="8"/>
        <rFont val="Arial"/>
        <family val="2"/>
      </rPr>
      <t>GLY,NO</t>
    </r>
  </si>
  <si>
    <r>
      <t>-</t>
    </r>
    <r>
      <rPr>
        <i/>
        <sz val="12"/>
        <color indexed="8"/>
        <rFont val="Arial"/>
        <family val="2"/>
      </rPr>
      <t>i</t>
    </r>
    <r>
      <rPr>
        <vertAlign val="subscript"/>
        <sz val="12"/>
        <color indexed="8"/>
        <rFont val="Arial"/>
        <family val="2"/>
      </rPr>
      <t>TSS,BM</t>
    </r>
    <r>
      <rPr>
        <i/>
        <sz val="12"/>
        <color indexed="8"/>
        <rFont val="Arial"/>
        <family val="2"/>
      </rPr>
      <t>/Y</t>
    </r>
    <r>
      <rPr>
        <vertAlign val="subscript"/>
        <sz val="12"/>
        <color indexed="8"/>
        <rFont val="Arial"/>
        <family val="2"/>
      </rPr>
      <t>GLY,NO</t>
    </r>
    <r>
      <rPr>
        <sz val="12"/>
        <color indexed="8"/>
        <rFont val="Arial"/>
        <family val="2"/>
      </rPr>
      <t>+</t>
    </r>
    <r>
      <rPr>
        <i/>
        <sz val="12"/>
        <color indexed="8"/>
        <rFont val="Arial"/>
        <family val="2"/>
      </rPr>
      <t>i</t>
    </r>
    <r>
      <rPr>
        <vertAlign val="subscript"/>
        <sz val="12"/>
        <color indexed="8"/>
        <rFont val="Arial"/>
        <family val="2"/>
      </rPr>
      <t>TSS,GLY</t>
    </r>
  </si>
  <si>
    <r>
      <t>k</t>
    </r>
    <r>
      <rPr>
        <vertAlign val="subscript"/>
        <sz val="12"/>
        <color indexed="8"/>
        <rFont val="Arial"/>
        <family val="2"/>
      </rPr>
      <t>GLY</t>
    </r>
    <r>
      <rPr>
        <sz val="12"/>
        <color indexed="8"/>
        <rFont val="Arial"/>
        <family val="2"/>
      </rPr>
      <t>*</t>
    </r>
    <r>
      <rPr>
        <i/>
        <sz val="12"/>
        <color indexed="57"/>
        <rFont val="Arial"/>
        <family val="2"/>
      </rPr>
      <t>η</t>
    </r>
    <r>
      <rPr>
        <vertAlign val="subscript"/>
        <sz val="12"/>
        <color indexed="57"/>
        <rFont val="Arial"/>
        <family val="2"/>
      </rPr>
      <t>NO,PAO</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X</t>
    </r>
    <r>
      <rPr>
        <vertAlign val="subscript"/>
        <sz val="12"/>
        <color indexed="8"/>
        <rFont val="Arial"/>
        <family val="2"/>
      </rPr>
      <t>GLY</t>
    </r>
    <r>
      <rPr>
        <sz val="12"/>
        <color indexed="8"/>
        <rFont val="Arial"/>
        <family val="2"/>
      </rPr>
      <t>]*[</t>
    </r>
    <r>
      <rPr>
        <i/>
        <sz val="12"/>
        <color indexed="57"/>
        <rFont val="Arial"/>
        <family val="2"/>
      </rPr>
      <t>K</t>
    </r>
    <r>
      <rPr>
        <vertAlign val="subscript"/>
        <sz val="12"/>
        <color indexed="57"/>
        <rFont val="Arial"/>
        <family val="2"/>
      </rPr>
      <t>O,PAO</t>
    </r>
    <r>
      <rPr>
        <sz val="12"/>
        <color indexed="8"/>
        <rFont val="Arial"/>
        <family val="2"/>
      </rPr>
      <t>/(</t>
    </r>
    <r>
      <rPr>
        <i/>
        <sz val="12"/>
        <color indexed="57"/>
        <rFont val="Arial"/>
        <family val="2"/>
      </rPr>
      <t>K</t>
    </r>
    <r>
      <rPr>
        <vertAlign val="subscript"/>
        <sz val="12"/>
        <color indexed="57"/>
        <rFont val="Arial"/>
        <family val="2"/>
      </rPr>
      <t>O,PAO</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57"/>
        <rFont val="Arial"/>
        <family val="2"/>
      </rPr>
      <t>K</t>
    </r>
    <r>
      <rPr>
        <vertAlign val="subscript"/>
        <sz val="12"/>
        <color indexed="57"/>
        <rFont val="Arial"/>
        <family val="2"/>
      </rPr>
      <t>NO,PAO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K</t>
    </r>
    <r>
      <rPr>
        <vertAlign val="subscript"/>
        <sz val="12"/>
        <color indexed="8"/>
        <rFont val="Arial"/>
        <family val="2"/>
      </rPr>
      <t>PHA</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f</t>
    </r>
    <r>
      <rPr>
        <vertAlign val="subscript"/>
        <sz val="12"/>
        <color indexed="8"/>
        <rFont val="Arial"/>
        <family val="2"/>
      </rPr>
      <t>gly,max</t>
    </r>
    <r>
      <rPr>
        <sz val="12"/>
        <color indexed="8"/>
        <rFont val="Arial"/>
        <family val="2"/>
      </rPr>
      <t>-(</t>
    </r>
    <r>
      <rPr>
        <i/>
        <sz val="12"/>
        <color indexed="8"/>
        <rFont val="Arial"/>
        <family val="2"/>
      </rPr>
      <t>X</t>
    </r>
    <r>
      <rPr>
        <vertAlign val="subscript"/>
        <sz val="12"/>
        <color indexed="8"/>
        <rFont val="Arial"/>
        <family val="2"/>
      </rPr>
      <t>GLY</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fGLY</t>
    </r>
    <r>
      <rPr>
        <sz val="12"/>
        <color indexed="8"/>
        <rFont val="Arial"/>
        <family val="2"/>
      </rPr>
      <t>+(</t>
    </r>
    <r>
      <rPr>
        <i/>
        <sz val="12"/>
        <color indexed="8"/>
        <rFont val="Arial"/>
        <family val="2"/>
      </rPr>
      <t>f</t>
    </r>
    <r>
      <rPr>
        <vertAlign val="subscript"/>
        <sz val="12"/>
        <color indexed="8"/>
        <rFont val="Arial"/>
        <family val="2"/>
      </rPr>
      <t>GLY,max</t>
    </r>
    <r>
      <rPr>
        <sz val="12"/>
        <color indexed="8"/>
        <rFont val="Arial"/>
        <family val="2"/>
      </rPr>
      <t>-</t>
    </r>
    <r>
      <rPr>
        <i/>
        <sz val="12"/>
        <color indexed="8"/>
        <rFont val="Arial"/>
        <family val="2"/>
      </rPr>
      <t>X</t>
    </r>
    <r>
      <rPr>
        <vertAlign val="subscript"/>
        <sz val="12"/>
        <color indexed="8"/>
        <rFont val="Arial"/>
        <family val="2"/>
      </rPr>
      <t>GLY</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HCO</t>
    </r>
    <r>
      <rPr>
        <sz val="12"/>
        <color indexed="8"/>
        <rFont val="Arial"/>
        <family val="2"/>
      </rPr>
      <t>/(</t>
    </r>
    <r>
      <rPr>
        <i/>
        <sz val="12"/>
        <color indexed="57"/>
        <rFont val="Arial"/>
        <family val="2"/>
      </rPr>
      <t>K</t>
    </r>
    <r>
      <rPr>
        <vertAlign val="subscript"/>
        <sz val="12"/>
        <color indexed="57"/>
        <rFont val="Arial"/>
        <family val="2"/>
      </rPr>
      <t>HCO,PAO</t>
    </r>
    <r>
      <rPr>
        <sz val="12"/>
        <color indexed="8"/>
        <rFont val="Arial"/>
        <family val="2"/>
      </rPr>
      <t>+</t>
    </r>
    <r>
      <rPr>
        <i/>
        <sz val="12"/>
        <color indexed="8"/>
        <rFont val="Arial"/>
        <family val="2"/>
      </rPr>
      <t>S</t>
    </r>
    <r>
      <rPr>
        <vertAlign val="subscript"/>
        <sz val="12"/>
        <color indexed="8"/>
        <rFont val="Arial"/>
        <family val="2"/>
      </rPr>
      <t>HCO</t>
    </r>
    <r>
      <rPr>
        <sz val="12"/>
        <color indexed="8"/>
        <rFont val="Arial"/>
        <family val="2"/>
      </rPr>
      <t>)]*</t>
    </r>
    <r>
      <rPr>
        <i/>
        <sz val="12"/>
        <color indexed="8"/>
        <rFont val="Arial"/>
        <family val="2"/>
      </rPr>
      <t>X</t>
    </r>
    <r>
      <rPr>
        <vertAlign val="subscript"/>
        <sz val="12"/>
        <color indexed="8"/>
        <rFont val="Arial"/>
        <family val="2"/>
      </rPr>
      <t>PAO</t>
    </r>
  </si>
  <si>
    <r>
      <t>-1/</t>
    </r>
    <r>
      <rPr>
        <i/>
        <sz val="12"/>
        <color indexed="8"/>
        <rFont val="Arial"/>
        <family val="2"/>
      </rPr>
      <t>i</t>
    </r>
    <r>
      <rPr>
        <vertAlign val="subscript"/>
        <sz val="12"/>
        <color indexed="8"/>
        <rFont val="Arial"/>
        <family val="2"/>
      </rPr>
      <t>NOx,N2</t>
    </r>
  </si>
  <si>
    <r>
      <t>1/</t>
    </r>
    <r>
      <rPr>
        <i/>
        <sz val="12"/>
        <color indexed="8"/>
        <rFont val="Arial"/>
        <family val="2"/>
      </rPr>
      <t>i</t>
    </r>
    <r>
      <rPr>
        <vertAlign val="subscript"/>
        <sz val="12"/>
        <color indexed="8"/>
        <rFont val="Arial"/>
        <family val="2"/>
      </rPr>
      <t>NOx,N2</t>
    </r>
  </si>
  <si>
    <r>
      <t>v</t>
    </r>
    <r>
      <rPr>
        <vertAlign val="subscript"/>
        <sz val="12"/>
        <color indexed="8"/>
        <rFont val="Arial"/>
        <family val="2"/>
      </rPr>
      <t>16_SNH</t>
    </r>
    <r>
      <rPr>
        <i/>
        <sz val="12"/>
        <color indexed="8"/>
        <rFont val="Arial"/>
        <family val="2"/>
      </rPr>
      <t>*i</t>
    </r>
    <r>
      <rPr>
        <vertAlign val="subscript"/>
        <sz val="12"/>
        <color indexed="8"/>
        <rFont val="Arial"/>
        <family val="2"/>
      </rPr>
      <t>Charge_NHx</t>
    </r>
    <r>
      <rPr>
        <i/>
        <sz val="12"/>
        <color indexed="8"/>
        <rFont val="Arial"/>
        <family val="2"/>
      </rPr>
      <t>+v</t>
    </r>
    <r>
      <rPr>
        <vertAlign val="subscript"/>
        <sz val="12"/>
        <color indexed="8"/>
        <rFont val="Arial"/>
        <family val="2"/>
      </rPr>
      <t>16_SPO</t>
    </r>
    <r>
      <rPr>
        <i/>
        <sz val="12"/>
        <color indexed="8"/>
        <rFont val="Arial"/>
        <family val="2"/>
      </rPr>
      <t>*i</t>
    </r>
    <r>
      <rPr>
        <vertAlign val="subscript"/>
        <sz val="12"/>
        <color indexed="8"/>
        <rFont val="Arial"/>
        <family val="2"/>
      </rPr>
      <t>Charge_PO4</t>
    </r>
    <r>
      <rPr>
        <i/>
        <sz val="12"/>
        <color indexed="8"/>
        <rFont val="Arial"/>
        <family val="2"/>
      </rPr>
      <t>+v</t>
    </r>
    <r>
      <rPr>
        <vertAlign val="subscript"/>
        <sz val="12"/>
        <color indexed="8"/>
        <rFont val="Arial"/>
        <family val="2"/>
      </rPr>
      <t>16_SNO</t>
    </r>
    <r>
      <rPr>
        <i/>
        <sz val="12"/>
        <color indexed="8"/>
        <rFont val="Arial"/>
        <family val="2"/>
      </rPr>
      <t>*i</t>
    </r>
    <r>
      <rPr>
        <vertAlign val="subscript"/>
        <sz val="12"/>
        <color indexed="8"/>
        <rFont val="Arial"/>
        <family val="2"/>
      </rPr>
      <t>Charge_NOx</t>
    </r>
  </si>
  <si>
    <r>
      <t>-</t>
    </r>
    <r>
      <rPr>
        <i/>
        <sz val="12"/>
        <color indexed="8"/>
        <rFont val="Arial"/>
        <family val="2"/>
      </rPr>
      <t>i</t>
    </r>
    <r>
      <rPr>
        <vertAlign val="subscript"/>
        <sz val="12"/>
        <color indexed="8"/>
        <rFont val="Arial"/>
        <family val="2"/>
      </rPr>
      <t>TSS,BM</t>
    </r>
  </si>
  <si>
    <r>
      <t>m</t>
    </r>
    <r>
      <rPr>
        <vertAlign val="subscript"/>
        <sz val="12"/>
        <color indexed="8"/>
        <rFont val="Arial"/>
        <family val="2"/>
      </rPr>
      <t>NO</t>
    </r>
    <r>
      <rPr>
        <sz val="12"/>
        <color indexed="8"/>
        <rFont val="Arial"/>
        <family val="2"/>
      </rPr>
      <t>*[</t>
    </r>
    <r>
      <rPr>
        <i/>
        <sz val="12"/>
        <color indexed="57"/>
        <rFont val="Arial"/>
        <family val="2"/>
      </rPr>
      <t>K</t>
    </r>
    <r>
      <rPr>
        <vertAlign val="subscript"/>
        <sz val="12"/>
        <color indexed="57"/>
        <rFont val="Arial"/>
        <family val="2"/>
      </rPr>
      <t>O,PAO</t>
    </r>
    <r>
      <rPr>
        <sz val="12"/>
        <color indexed="8"/>
        <rFont val="Arial"/>
        <family val="2"/>
      </rPr>
      <t>/(</t>
    </r>
    <r>
      <rPr>
        <i/>
        <sz val="12"/>
        <color indexed="57"/>
        <rFont val="Arial"/>
        <family val="2"/>
      </rPr>
      <t>K</t>
    </r>
    <r>
      <rPr>
        <vertAlign val="subscript"/>
        <sz val="12"/>
        <color indexed="57"/>
        <rFont val="Arial"/>
        <family val="2"/>
      </rPr>
      <t>O,PAO</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57"/>
        <rFont val="Arial"/>
        <family val="2"/>
      </rPr>
      <t>K</t>
    </r>
    <r>
      <rPr>
        <vertAlign val="subscript"/>
        <sz val="12"/>
        <color indexed="57"/>
        <rFont val="Arial"/>
        <family val="2"/>
      </rPr>
      <t>NO,PAO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8"/>
        <rFont val="Arial"/>
        <family val="2"/>
      </rPr>
      <t>X</t>
    </r>
    <r>
      <rPr>
        <vertAlign val="subscript"/>
        <sz val="12"/>
        <color indexed="8"/>
        <rFont val="Arial"/>
        <family val="2"/>
      </rPr>
      <t>PAO</t>
    </r>
  </si>
  <si>
    <r>
      <t>-1+1/</t>
    </r>
    <r>
      <rPr>
        <i/>
        <sz val="12"/>
        <color indexed="8"/>
        <rFont val="Arial"/>
        <family val="2"/>
      </rPr>
      <t>Y</t>
    </r>
    <r>
      <rPr>
        <vertAlign val="subscript"/>
        <sz val="12"/>
        <color indexed="8"/>
        <rFont val="Arial"/>
        <family val="2"/>
      </rPr>
      <t>PHA,O</t>
    </r>
  </si>
  <si>
    <r>
      <t>-</t>
    </r>
    <r>
      <rPr>
        <i/>
        <sz val="12"/>
        <color indexed="8"/>
        <rFont val="Arial"/>
        <family val="2"/>
      </rPr>
      <t>i</t>
    </r>
    <r>
      <rPr>
        <vertAlign val="subscript"/>
        <sz val="12"/>
        <color indexed="8"/>
        <rFont val="Arial"/>
        <family val="2"/>
      </rPr>
      <t>N,BM</t>
    </r>
    <r>
      <rPr>
        <i/>
        <sz val="12"/>
        <color indexed="8"/>
        <rFont val="Arial"/>
        <family val="2"/>
      </rPr>
      <t>/Y</t>
    </r>
    <r>
      <rPr>
        <vertAlign val="subscript"/>
        <sz val="12"/>
        <color indexed="8"/>
        <rFont val="Arial"/>
        <family val="2"/>
      </rPr>
      <t>PHA,O</t>
    </r>
  </si>
  <si>
    <r>
      <t>-</t>
    </r>
    <r>
      <rPr>
        <i/>
        <sz val="12"/>
        <color indexed="8"/>
        <rFont val="Arial"/>
        <family val="2"/>
      </rPr>
      <t>i</t>
    </r>
    <r>
      <rPr>
        <vertAlign val="subscript"/>
        <sz val="12"/>
        <color indexed="8"/>
        <rFont val="Arial"/>
        <family val="2"/>
      </rPr>
      <t>P,BM</t>
    </r>
    <r>
      <rPr>
        <i/>
        <sz val="12"/>
        <color indexed="8"/>
        <rFont val="Arial"/>
        <family val="2"/>
      </rPr>
      <t>/Y</t>
    </r>
    <r>
      <rPr>
        <vertAlign val="subscript"/>
        <sz val="12"/>
        <color indexed="8"/>
        <rFont val="Arial"/>
        <family val="2"/>
      </rPr>
      <t>PHA,O</t>
    </r>
  </si>
  <si>
    <r>
      <t>v</t>
    </r>
    <r>
      <rPr>
        <vertAlign val="subscript"/>
        <sz val="12"/>
        <color indexed="8"/>
        <rFont val="Arial"/>
        <family val="2"/>
      </rPr>
      <t>17_SNH</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17_SPO</t>
    </r>
    <r>
      <rPr>
        <sz val="12"/>
        <color indexed="8"/>
        <rFont val="Arial"/>
        <family val="2"/>
      </rPr>
      <t>*</t>
    </r>
    <r>
      <rPr>
        <i/>
        <sz val="12"/>
        <color indexed="8"/>
        <rFont val="Arial"/>
        <family val="2"/>
      </rPr>
      <t>i</t>
    </r>
    <r>
      <rPr>
        <vertAlign val="subscript"/>
        <sz val="12"/>
        <color indexed="8"/>
        <rFont val="Arial"/>
        <family val="2"/>
      </rPr>
      <t>Charge_PO4</t>
    </r>
  </si>
  <si>
    <r>
      <t>1/</t>
    </r>
    <r>
      <rPr>
        <i/>
        <sz val="12"/>
        <color indexed="8"/>
        <rFont val="Arial"/>
        <family val="2"/>
      </rPr>
      <t>Y</t>
    </r>
    <r>
      <rPr>
        <vertAlign val="subscript"/>
        <sz val="12"/>
        <color indexed="8"/>
        <rFont val="Arial"/>
        <family val="2"/>
      </rPr>
      <t>PHA,O</t>
    </r>
  </si>
  <si>
    <r>
      <t>i</t>
    </r>
    <r>
      <rPr>
        <vertAlign val="subscript"/>
        <sz val="12"/>
        <color indexed="8"/>
        <rFont val="Arial"/>
        <family val="2"/>
      </rPr>
      <t>TSS,BM</t>
    </r>
    <r>
      <rPr>
        <i/>
        <sz val="12"/>
        <color indexed="8"/>
        <rFont val="Arial"/>
        <family val="2"/>
      </rPr>
      <t>/Y</t>
    </r>
    <r>
      <rPr>
        <vertAlign val="subscript"/>
        <sz val="12"/>
        <color indexed="8"/>
        <rFont val="Arial"/>
        <family val="2"/>
      </rPr>
      <t>PHA,O</t>
    </r>
    <r>
      <rPr>
        <sz val="12"/>
        <color indexed="8"/>
        <rFont val="Arial"/>
        <family val="2"/>
      </rPr>
      <t>-</t>
    </r>
    <r>
      <rPr>
        <i/>
        <sz val="12"/>
        <color indexed="8"/>
        <rFont val="Arial"/>
        <family val="2"/>
      </rPr>
      <t>i</t>
    </r>
    <r>
      <rPr>
        <vertAlign val="subscript"/>
        <sz val="12"/>
        <color indexed="8"/>
        <rFont val="Arial"/>
        <family val="2"/>
      </rPr>
      <t>TSS,PHA</t>
    </r>
  </si>
  <si>
    <r>
      <t>k</t>
    </r>
    <r>
      <rPr>
        <vertAlign val="subscript"/>
        <sz val="12"/>
        <color indexed="8"/>
        <rFont val="Arial"/>
        <family val="2"/>
      </rPr>
      <t>PHA</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57"/>
        <rFont val="Arial"/>
        <family val="2"/>
      </rPr>
      <t>K</t>
    </r>
    <r>
      <rPr>
        <vertAlign val="subscript"/>
        <sz val="12"/>
        <color indexed="57"/>
        <rFont val="Arial"/>
        <family val="2"/>
      </rPr>
      <t>O,PAO</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NH</t>
    </r>
    <r>
      <rPr>
        <sz val="12"/>
        <color indexed="8"/>
        <rFont val="Arial"/>
        <family val="2"/>
      </rPr>
      <t>/(</t>
    </r>
    <r>
      <rPr>
        <i/>
        <sz val="12"/>
        <color indexed="57"/>
        <rFont val="Arial"/>
        <family val="2"/>
      </rPr>
      <t>K</t>
    </r>
    <r>
      <rPr>
        <vertAlign val="subscript"/>
        <sz val="12"/>
        <color indexed="57"/>
        <rFont val="Arial"/>
        <family val="2"/>
      </rPr>
      <t>N,PAO</t>
    </r>
    <r>
      <rPr>
        <sz val="12"/>
        <color indexed="8"/>
        <rFont val="Arial"/>
        <family val="2"/>
      </rPr>
      <t>+</t>
    </r>
    <r>
      <rPr>
        <i/>
        <sz val="12"/>
        <color indexed="8"/>
        <rFont val="Arial"/>
        <family val="2"/>
      </rPr>
      <t>S</t>
    </r>
    <r>
      <rPr>
        <vertAlign val="subscript"/>
        <sz val="12"/>
        <color indexed="8"/>
        <rFont val="Arial"/>
        <family val="2"/>
      </rPr>
      <t>NH</t>
    </r>
    <r>
      <rPr>
        <sz val="12"/>
        <color indexed="8"/>
        <rFont val="Arial"/>
        <family val="2"/>
      </rPr>
      <t>)]*[</t>
    </r>
    <r>
      <rPr>
        <i/>
        <sz val="12"/>
        <color indexed="8"/>
        <rFont val="Arial"/>
        <family val="2"/>
      </rPr>
      <t>S</t>
    </r>
    <r>
      <rPr>
        <vertAlign val="subscript"/>
        <sz val="12"/>
        <color indexed="8"/>
        <rFont val="Arial"/>
        <family val="2"/>
      </rPr>
      <t>PO</t>
    </r>
    <r>
      <rPr>
        <sz val="12"/>
        <color indexed="8"/>
        <rFont val="Arial"/>
        <family val="2"/>
      </rPr>
      <t>/(</t>
    </r>
    <r>
      <rPr>
        <i/>
        <sz val="12"/>
        <color indexed="57"/>
        <rFont val="Arial"/>
        <family val="2"/>
      </rPr>
      <t>K</t>
    </r>
    <r>
      <rPr>
        <vertAlign val="subscript"/>
        <sz val="12"/>
        <color indexed="57"/>
        <rFont val="Arial"/>
        <family val="2"/>
      </rPr>
      <t>P,PAO</t>
    </r>
    <r>
      <rPr>
        <sz val="12"/>
        <color indexed="8"/>
        <rFont val="Arial"/>
        <family val="2"/>
      </rPr>
      <t>+</t>
    </r>
    <r>
      <rPr>
        <i/>
        <sz val="12"/>
        <color indexed="8"/>
        <rFont val="Arial"/>
        <family val="2"/>
      </rPr>
      <t>S</t>
    </r>
    <r>
      <rPr>
        <vertAlign val="subscript"/>
        <sz val="12"/>
        <color indexed="8"/>
        <rFont val="Arial"/>
        <family val="2"/>
      </rPr>
      <t>PO</t>
    </r>
    <r>
      <rPr>
        <sz val="12"/>
        <color indexed="8"/>
        <rFont val="Arial"/>
        <family val="2"/>
      </rPr>
      <t>)]*[</t>
    </r>
    <r>
      <rPr>
        <i/>
        <sz val="12"/>
        <color indexed="8"/>
        <rFont val="Arial"/>
        <family val="2"/>
      </rPr>
      <t>S</t>
    </r>
    <r>
      <rPr>
        <vertAlign val="subscript"/>
        <sz val="12"/>
        <color indexed="8"/>
        <rFont val="Arial"/>
        <family val="2"/>
      </rPr>
      <t>HCO</t>
    </r>
    <r>
      <rPr>
        <sz val="12"/>
        <color indexed="8"/>
        <rFont val="Arial"/>
        <family val="2"/>
      </rPr>
      <t>/(</t>
    </r>
    <r>
      <rPr>
        <i/>
        <sz val="12"/>
        <color indexed="57"/>
        <rFont val="Arial"/>
        <family val="2"/>
      </rPr>
      <t>K</t>
    </r>
    <r>
      <rPr>
        <vertAlign val="subscript"/>
        <sz val="12"/>
        <color indexed="57"/>
        <rFont val="Arial"/>
        <family val="2"/>
      </rPr>
      <t>HCO,PAO</t>
    </r>
    <r>
      <rPr>
        <sz val="12"/>
        <color indexed="8"/>
        <rFont val="Arial"/>
        <family val="2"/>
      </rPr>
      <t>+</t>
    </r>
    <r>
      <rPr>
        <i/>
        <sz val="12"/>
        <color indexed="8"/>
        <rFont val="Arial"/>
        <family val="2"/>
      </rPr>
      <t>S</t>
    </r>
    <r>
      <rPr>
        <vertAlign val="subscript"/>
        <sz val="12"/>
        <color indexed="8"/>
        <rFont val="Arial"/>
        <family val="2"/>
      </rPr>
      <t>HCO</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fPHA</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</si>
  <si>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Aerobic Storage of X</t>
    </r>
    <r>
      <rPr>
        <b/>
        <vertAlign val="subscript"/>
        <sz val="12"/>
        <color indexed="8"/>
        <rFont val="Arial"/>
        <family val="2"/>
      </rPr>
      <t>PP</t>
    </r>
  </si>
  <si>
    <r>
      <t>-1/</t>
    </r>
    <r>
      <rPr>
        <i/>
        <sz val="12"/>
        <color indexed="8"/>
        <rFont val="Arial"/>
        <family val="2"/>
      </rPr>
      <t>Y</t>
    </r>
    <r>
      <rPr>
        <vertAlign val="subscript"/>
        <sz val="12"/>
        <color indexed="8"/>
        <rFont val="Arial"/>
        <family val="2"/>
      </rPr>
      <t>PP,O</t>
    </r>
  </si>
  <si>
    <r>
      <t>i</t>
    </r>
    <r>
      <rPr>
        <vertAlign val="subscript"/>
        <sz val="12"/>
        <color indexed="8"/>
        <rFont val="Arial"/>
        <family val="2"/>
      </rPr>
      <t>N,BM</t>
    </r>
    <r>
      <rPr>
        <i/>
        <sz val="12"/>
        <color indexed="8"/>
        <rFont val="Arial"/>
        <family val="2"/>
      </rPr>
      <t>/Y</t>
    </r>
    <r>
      <rPr>
        <vertAlign val="subscript"/>
        <sz val="12"/>
        <color indexed="8"/>
        <rFont val="Arial"/>
        <family val="2"/>
      </rPr>
      <t>PP,O</t>
    </r>
  </si>
  <si>
    <r>
      <t>i</t>
    </r>
    <r>
      <rPr>
        <vertAlign val="subscript"/>
        <sz val="12"/>
        <color indexed="8"/>
        <rFont val="Arial"/>
        <family val="2"/>
      </rPr>
      <t>P,BM</t>
    </r>
    <r>
      <rPr>
        <i/>
        <sz val="12"/>
        <color indexed="8"/>
        <rFont val="Arial"/>
        <family val="2"/>
      </rPr>
      <t>/Y</t>
    </r>
    <r>
      <rPr>
        <vertAlign val="subscript"/>
        <sz val="12"/>
        <color indexed="8"/>
        <rFont val="Arial"/>
        <family val="2"/>
      </rPr>
      <t>PP,O</t>
    </r>
    <r>
      <rPr>
        <sz val="12"/>
        <color indexed="8"/>
        <rFont val="Arial"/>
        <family val="2"/>
      </rPr>
      <t>-1</t>
    </r>
  </si>
  <si>
    <r>
      <t>v</t>
    </r>
    <r>
      <rPr>
        <vertAlign val="subscript"/>
        <sz val="12"/>
        <color indexed="8"/>
        <rFont val="Arial"/>
        <family val="2"/>
      </rPr>
      <t>18_SNH</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18_SPO</t>
    </r>
    <r>
      <rPr>
        <sz val="12"/>
        <color indexed="8"/>
        <rFont val="Arial"/>
        <family val="2"/>
      </rPr>
      <t>*</t>
    </r>
    <r>
      <rPr>
        <i/>
        <sz val="12"/>
        <color indexed="8"/>
        <rFont val="Arial"/>
        <family val="2"/>
      </rPr>
      <t>i</t>
    </r>
    <r>
      <rPr>
        <vertAlign val="subscript"/>
        <sz val="12"/>
        <color indexed="8"/>
        <rFont val="Arial"/>
        <family val="2"/>
      </rPr>
      <t>Charge_PO4</t>
    </r>
    <r>
      <rPr>
        <sz val="12"/>
        <color indexed="8"/>
        <rFont val="Arial"/>
        <family val="2"/>
      </rPr>
      <t>+</t>
    </r>
    <r>
      <rPr>
        <i/>
        <sz val="12"/>
        <color indexed="8"/>
        <rFont val="Arial"/>
        <family val="2"/>
      </rPr>
      <t>i</t>
    </r>
    <r>
      <rPr>
        <vertAlign val="subscript"/>
        <sz val="12"/>
        <color indexed="8"/>
        <rFont val="Arial"/>
        <family val="2"/>
      </rPr>
      <t>Charge_XPAO,PP</t>
    </r>
  </si>
  <si>
    <r>
      <t>-</t>
    </r>
    <r>
      <rPr>
        <i/>
        <sz val="12"/>
        <color indexed="8"/>
        <rFont val="Arial"/>
        <family val="2"/>
      </rPr>
      <t>i</t>
    </r>
    <r>
      <rPr>
        <vertAlign val="subscript"/>
        <sz val="12"/>
        <color indexed="8"/>
        <rFont val="Arial"/>
        <family val="2"/>
      </rPr>
      <t>TSS,BM</t>
    </r>
    <r>
      <rPr>
        <i/>
        <sz val="12"/>
        <color indexed="8"/>
        <rFont val="Arial"/>
        <family val="2"/>
      </rPr>
      <t>/Y</t>
    </r>
    <r>
      <rPr>
        <vertAlign val="subscript"/>
        <sz val="12"/>
        <color indexed="8"/>
        <rFont val="Arial"/>
        <family val="2"/>
      </rPr>
      <t>PP,O</t>
    </r>
    <r>
      <rPr>
        <sz val="12"/>
        <color indexed="8"/>
        <rFont val="Arial"/>
        <family val="2"/>
      </rPr>
      <t>+</t>
    </r>
    <r>
      <rPr>
        <i/>
        <sz val="12"/>
        <color indexed="8"/>
        <rFont val="Arial"/>
        <family val="2"/>
      </rPr>
      <t>i</t>
    </r>
    <r>
      <rPr>
        <vertAlign val="subscript"/>
        <sz val="12"/>
        <color indexed="8"/>
        <rFont val="Arial"/>
        <family val="2"/>
      </rPr>
      <t>TSS,PP</t>
    </r>
  </si>
  <si>
    <r>
      <t>k</t>
    </r>
    <r>
      <rPr>
        <vertAlign val="subscript"/>
        <sz val="12"/>
        <color indexed="8"/>
        <rFont val="Arial"/>
        <family val="2"/>
      </rPr>
      <t>PP</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PP</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g</t>
    </r>
    <r>
      <rPr>
        <vertAlign val="subscript"/>
        <sz val="12"/>
        <color indexed="8"/>
        <rFont val="Arial"/>
        <family val="2"/>
      </rPr>
      <t>PP</t>
    </r>
    <r>
      <rPr>
        <sz val="12"/>
        <color indexed="8"/>
        <rFont val="Arial"/>
        <family val="2"/>
      </rPr>
      <t>*</t>
    </r>
    <r>
      <rPr>
        <i/>
        <sz val="12"/>
        <color indexed="57"/>
        <rFont val="Arial"/>
        <family val="2"/>
      </rPr>
      <t>K</t>
    </r>
    <r>
      <rPr>
        <vertAlign val="subscript"/>
        <sz val="12"/>
        <color indexed="57"/>
        <rFont val="Arial"/>
        <family val="2"/>
      </rPr>
      <t>O,PAO</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PO</t>
    </r>
    <r>
      <rPr>
        <sz val="12"/>
        <color indexed="8"/>
        <rFont val="Arial"/>
        <family val="2"/>
      </rPr>
      <t>/(</t>
    </r>
    <r>
      <rPr>
        <i/>
        <sz val="12"/>
        <color indexed="57"/>
        <rFont val="Arial"/>
        <family val="2"/>
      </rPr>
      <t>K</t>
    </r>
    <r>
      <rPr>
        <vertAlign val="subscript"/>
        <sz val="12"/>
        <color indexed="57"/>
        <rFont val="Arial"/>
        <family val="2"/>
      </rPr>
      <t>P,PAO</t>
    </r>
    <r>
      <rPr>
        <sz val="12"/>
        <color indexed="8"/>
        <rFont val="Arial"/>
        <family val="2"/>
      </rPr>
      <t>+</t>
    </r>
    <r>
      <rPr>
        <i/>
        <sz val="12"/>
        <color indexed="8"/>
        <rFont val="Arial"/>
        <family val="2"/>
      </rPr>
      <t>S</t>
    </r>
    <r>
      <rPr>
        <vertAlign val="subscript"/>
        <sz val="12"/>
        <color indexed="8"/>
        <rFont val="Arial"/>
        <family val="2"/>
      </rPr>
      <t>PO</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K</t>
    </r>
    <r>
      <rPr>
        <vertAlign val="subscript"/>
        <sz val="12"/>
        <color indexed="8"/>
        <rFont val="Arial"/>
        <family val="2"/>
      </rPr>
      <t>PHA</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f</t>
    </r>
    <r>
      <rPr>
        <vertAlign val="subscript"/>
        <sz val="12"/>
        <color indexed="8"/>
        <rFont val="Arial"/>
        <family val="2"/>
      </rPr>
      <t>pp,max</t>
    </r>
    <r>
      <rPr>
        <sz val="12"/>
        <color indexed="8"/>
        <rFont val="Arial"/>
        <family val="2"/>
      </rPr>
      <t>-(</t>
    </r>
    <r>
      <rPr>
        <i/>
        <sz val="12"/>
        <color indexed="8"/>
        <rFont val="Arial"/>
        <family val="2"/>
      </rPr>
      <t>X</t>
    </r>
    <r>
      <rPr>
        <vertAlign val="subscript"/>
        <sz val="12"/>
        <color indexed="8"/>
        <rFont val="Arial"/>
        <family val="2"/>
      </rPr>
      <t>PP</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fPP</t>
    </r>
    <r>
      <rPr>
        <sz val="12"/>
        <color indexed="8"/>
        <rFont val="Arial"/>
        <family val="2"/>
      </rPr>
      <t>+(</t>
    </r>
    <r>
      <rPr>
        <i/>
        <sz val="12"/>
        <color indexed="8"/>
        <rFont val="Arial"/>
        <family val="2"/>
      </rPr>
      <t>f</t>
    </r>
    <r>
      <rPr>
        <vertAlign val="subscript"/>
        <sz val="12"/>
        <color indexed="8"/>
        <rFont val="Arial"/>
        <family val="2"/>
      </rPr>
      <t>PP,max</t>
    </r>
    <r>
      <rPr>
        <sz val="12"/>
        <color indexed="8"/>
        <rFont val="Arial"/>
        <family val="2"/>
      </rPr>
      <t>-</t>
    </r>
    <r>
      <rPr>
        <i/>
        <sz val="12"/>
        <color indexed="8"/>
        <rFont val="Arial"/>
        <family val="2"/>
      </rPr>
      <t>X</t>
    </r>
    <r>
      <rPr>
        <vertAlign val="subscript"/>
        <sz val="12"/>
        <color indexed="8"/>
        <rFont val="Arial"/>
        <family val="2"/>
      </rPr>
      <t>PP</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</si>
  <si>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-(1-</t>
    </r>
    <r>
      <rPr>
        <i/>
        <sz val="12"/>
        <color indexed="8"/>
        <rFont val="Arial"/>
        <family val="2"/>
      </rPr>
      <t>Y</t>
    </r>
    <r>
      <rPr>
        <vertAlign val="subscript"/>
        <sz val="12"/>
        <color indexed="8"/>
        <rFont val="Arial"/>
        <family val="2"/>
      </rPr>
      <t>GLY,O</t>
    </r>
    <r>
      <rPr>
        <sz val="12"/>
        <color indexed="8"/>
        <rFont val="Arial"/>
        <family val="2"/>
      </rPr>
      <t>)</t>
    </r>
    <r>
      <rPr>
        <i/>
        <sz val="12"/>
        <color indexed="8"/>
        <rFont val="Arial"/>
        <family val="2"/>
      </rPr>
      <t>/Y</t>
    </r>
    <r>
      <rPr>
        <vertAlign val="subscript"/>
        <sz val="12"/>
        <color indexed="8"/>
        <rFont val="Arial"/>
        <family val="2"/>
      </rPr>
      <t>GLY,O</t>
    </r>
  </si>
  <si>
    <r>
      <t>i</t>
    </r>
    <r>
      <rPr>
        <vertAlign val="subscript"/>
        <sz val="12"/>
        <color indexed="8"/>
        <rFont val="Arial"/>
        <family val="2"/>
      </rPr>
      <t>N,BM</t>
    </r>
    <r>
      <rPr>
        <i/>
        <sz val="12"/>
        <color indexed="8"/>
        <rFont val="Arial"/>
        <family val="2"/>
      </rPr>
      <t>/Y</t>
    </r>
    <r>
      <rPr>
        <vertAlign val="subscript"/>
        <sz val="12"/>
        <color indexed="8"/>
        <rFont val="Arial"/>
        <family val="2"/>
      </rPr>
      <t>GLY,O</t>
    </r>
  </si>
  <si>
    <r>
      <t>i</t>
    </r>
    <r>
      <rPr>
        <vertAlign val="subscript"/>
        <sz val="12"/>
        <color indexed="8"/>
        <rFont val="Arial"/>
        <family val="2"/>
      </rPr>
      <t>P,BM</t>
    </r>
    <r>
      <rPr>
        <i/>
        <sz val="12"/>
        <color indexed="8"/>
        <rFont val="Arial"/>
        <family val="2"/>
      </rPr>
      <t>/Y</t>
    </r>
    <r>
      <rPr>
        <vertAlign val="subscript"/>
        <sz val="12"/>
        <color indexed="8"/>
        <rFont val="Arial"/>
        <family val="2"/>
      </rPr>
      <t>GLY,O</t>
    </r>
  </si>
  <si>
    <r>
      <t>v</t>
    </r>
    <r>
      <rPr>
        <vertAlign val="subscript"/>
        <sz val="12"/>
        <color indexed="8"/>
        <rFont val="Arial"/>
        <family val="2"/>
      </rPr>
      <t>19_SNH</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19_SPO</t>
    </r>
    <r>
      <rPr>
        <sz val="12"/>
        <color indexed="8"/>
        <rFont val="Arial"/>
        <family val="2"/>
      </rPr>
      <t>*</t>
    </r>
    <r>
      <rPr>
        <i/>
        <sz val="12"/>
        <color indexed="8"/>
        <rFont val="Arial"/>
        <family val="2"/>
      </rPr>
      <t>i</t>
    </r>
    <r>
      <rPr>
        <vertAlign val="subscript"/>
        <sz val="12"/>
        <color indexed="8"/>
        <rFont val="Arial"/>
        <family val="2"/>
      </rPr>
      <t>Charge_PO4</t>
    </r>
  </si>
  <si>
    <r>
      <t>-1/</t>
    </r>
    <r>
      <rPr>
        <i/>
        <sz val="12"/>
        <color indexed="8"/>
        <rFont val="Arial"/>
        <family val="2"/>
      </rPr>
      <t>Y</t>
    </r>
    <r>
      <rPr>
        <vertAlign val="subscript"/>
        <sz val="12"/>
        <color indexed="8"/>
        <rFont val="Arial"/>
        <family val="2"/>
      </rPr>
      <t>GLY,O</t>
    </r>
  </si>
  <si>
    <r>
      <t>-</t>
    </r>
    <r>
      <rPr>
        <i/>
        <sz val="12"/>
        <color indexed="8"/>
        <rFont val="Arial"/>
        <family val="2"/>
      </rPr>
      <t>i</t>
    </r>
    <r>
      <rPr>
        <vertAlign val="subscript"/>
        <sz val="12"/>
        <color indexed="8"/>
        <rFont val="Arial"/>
        <family val="2"/>
      </rPr>
      <t>TSS,BM</t>
    </r>
    <r>
      <rPr>
        <i/>
        <sz val="12"/>
        <color indexed="8"/>
        <rFont val="Arial"/>
        <family val="2"/>
      </rPr>
      <t>/Y</t>
    </r>
    <r>
      <rPr>
        <vertAlign val="subscript"/>
        <sz val="12"/>
        <color indexed="8"/>
        <rFont val="Arial"/>
        <family val="2"/>
      </rPr>
      <t>GLY,O</t>
    </r>
    <r>
      <rPr>
        <sz val="12"/>
        <color indexed="8"/>
        <rFont val="Arial"/>
        <family val="2"/>
      </rPr>
      <t>+</t>
    </r>
    <r>
      <rPr>
        <i/>
        <sz val="12"/>
        <color indexed="8"/>
        <rFont val="Arial"/>
        <family val="2"/>
      </rPr>
      <t>i</t>
    </r>
    <r>
      <rPr>
        <vertAlign val="subscript"/>
        <sz val="12"/>
        <color indexed="8"/>
        <rFont val="Arial"/>
        <family val="2"/>
      </rPr>
      <t>TSS,GLY</t>
    </r>
  </si>
  <si>
    <r>
      <t>k</t>
    </r>
    <r>
      <rPr>
        <vertAlign val="subscript"/>
        <sz val="12"/>
        <color indexed="8"/>
        <rFont val="Arial"/>
        <family val="2"/>
      </rPr>
      <t>GLY</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X</t>
    </r>
    <r>
      <rPr>
        <vertAlign val="subscript"/>
        <sz val="12"/>
        <color indexed="8"/>
        <rFont val="Arial"/>
        <family val="2"/>
      </rPr>
      <t>GLY</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57"/>
        <rFont val="Arial"/>
        <family val="2"/>
      </rPr>
      <t>K</t>
    </r>
    <r>
      <rPr>
        <vertAlign val="subscript"/>
        <sz val="12"/>
        <color indexed="57"/>
        <rFont val="Arial"/>
        <family val="2"/>
      </rPr>
      <t>O,PAO</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K</t>
    </r>
    <r>
      <rPr>
        <vertAlign val="subscript"/>
        <sz val="12"/>
        <color indexed="8"/>
        <rFont val="Arial"/>
        <family val="2"/>
      </rPr>
      <t>PHA</t>
    </r>
    <r>
      <rPr>
        <sz val="12"/>
        <color indexed="8"/>
        <rFont val="Arial"/>
        <family val="2"/>
      </rPr>
      <t>+</t>
    </r>
    <r>
      <rPr>
        <i/>
        <sz val="12"/>
        <color indexed="8"/>
        <rFont val="Arial"/>
        <family val="2"/>
      </rPr>
      <t>X</t>
    </r>
    <r>
      <rPr>
        <vertAlign val="subscript"/>
        <sz val="12"/>
        <color indexed="8"/>
        <rFont val="Arial"/>
        <family val="2"/>
      </rPr>
      <t>PHA</t>
    </r>
    <r>
      <rPr>
        <sz val="12"/>
        <color indexed="8"/>
        <rFont val="Arial"/>
        <family val="2"/>
      </rPr>
      <t>)]*[(</t>
    </r>
    <r>
      <rPr>
        <i/>
        <sz val="12"/>
        <color indexed="8"/>
        <rFont val="Arial"/>
        <family val="2"/>
      </rPr>
      <t>f</t>
    </r>
    <r>
      <rPr>
        <vertAlign val="subscript"/>
        <sz val="12"/>
        <color indexed="8"/>
        <rFont val="Arial"/>
        <family val="2"/>
      </rPr>
      <t>GLY,max</t>
    </r>
    <r>
      <rPr>
        <sz val="12"/>
        <color indexed="8"/>
        <rFont val="Arial"/>
        <family val="2"/>
      </rPr>
      <t>-(</t>
    </r>
    <r>
      <rPr>
        <i/>
        <sz val="12"/>
        <color indexed="8"/>
        <rFont val="Arial"/>
        <family val="2"/>
      </rPr>
      <t>X</t>
    </r>
    <r>
      <rPr>
        <vertAlign val="subscript"/>
        <sz val="12"/>
        <color indexed="8"/>
        <rFont val="Arial"/>
        <family val="2"/>
      </rPr>
      <t>GLY</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fGLY</t>
    </r>
    <r>
      <rPr>
        <sz val="12"/>
        <color indexed="8"/>
        <rFont val="Arial"/>
        <family val="2"/>
      </rPr>
      <t>+(</t>
    </r>
    <r>
      <rPr>
        <i/>
        <sz val="12"/>
        <color indexed="8"/>
        <rFont val="Arial"/>
        <family val="2"/>
      </rPr>
      <t>f</t>
    </r>
    <r>
      <rPr>
        <vertAlign val="subscript"/>
        <sz val="12"/>
        <color indexed="8"/>
        <rFont val="Arial"/>
        <family val="2"/>
      </rPr>
      <t>GLY,max</t>
    </r>
    <r>
      <rPr>
        <sz val="12"/>
        <color indexed="8"/>
        <rFont val="Arial"/>
        <family val="2"/>
      </rPr>
      <t>-</t>
    </r>
    <r>
      <rPr>
        <i/>
        <sz val="12"/>
        <color indexed="8"/>
        <rFont val="Arial"/>
        <family val="2"/>
      </rPr>
      <t>X</t>
    </r>
    <r>
      <rPr>
        <vertAlign val="subscript"/>
        <sz val="12"/>
        <color indexed="8"/>
        <rFont val="Arial"/>
        <family val="2"/>
      </rPr>
      <t>GLY</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</si>
  <si>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v</t>
    </r>
    <r>
      <rPr>
        <vertAlign val="subscript"/>
        <sz val="12"/>
        <color indexed="8"/>
        <rFont val="Arial"/>
        <family val="2"/>
      </rPr>
      <t>20_SNH</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20_SPO</t>
    </r>
    <r>
      <rPr>
        <sz val="12"/>
        <color indexed="8"/>
        <rFont val="Arial"/>
        <family val="2"/>
      </rPr>
      <t>*</t>
    </r>
    <r>
      <rPr>
        <i/>
        <sz val="12"/>
        <color indexed="8"/>
        <rFont val="Arial"/>
        <family val="2"/>
      </rPr>
      <t>i</t>
    </r>
    <r>
      <rPr>
        <vertAlign val="subscript"/>
        <sz val="12"/>
        <color indexed="8"/>
        <rFont val="Arial"/>
        <family val="2"/>
      </rPr>
      <t>Charge_PO4</t>
    </r>
  </si>
  <si>
    <r>
      <t>m</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57"/>
        <rFont val="Arial"/>
        <family val="2"/>
      </rPr>
      <t>K</t>
    </r>
    <r>
      <rPr>
        <vertAlign val="subscript"/>
        <sz val="12"/>
        <color indexed="57"/>
        <rFont val="Arial"/>
        <family val="2"/>
      </rPr>
      <t>O,PAO</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X</t>
    </r>
    <r>
      <rPr>
        <vertAlign val="subscript"/>
        <sz val="12"/>
        <color indexed="8"/>
        <rFont val="Arial"/>
        <family val="2"/>
      </rPr>
      <t>PAO</t>
    </r>
  </si>
  <si>
    <r>
      <t>Aerobic growth of X</t>
    </r>
    <r>
      <rPr>
        <b/>
        <vertAlign val="subscript"/>
        <sz val="12"/>
        <color indexed="8"/>
        <rFont val="Arial"/>
        <family val="2"/>
      </rPr>
      <t>A</t>
    </r>
  </si>
  <si>
    <r>
      <t>-(-</t>
    </r>
    <r>
      <rPr>
        <i/>
        <sz val="12"/>
        <color indexed="8"/>
        <rFont val="Arial"/>
        <family val="2"/>
      </rPr>
      <t>i</t>
    </r>
    <r>
      <rPr>
        <vertAlign val="subscript"/>
        <sz val="12"/>
        <color indexed="8"/>
        <rFont val="Arial"/>
        <family val="2"/>
      </rPr>
      <t>COD_NOx</t>
    </r>
    <r>
      <rPr>
        <sz val="12"/>
        <color indexed="8"/>
        <rFont val="Arial"/>
        <family val="2"/>
      </rPr>
      <t>-</t>
    </r>
    <r>
      <rPr>
        <i/>
        <sz val="12"/>
        <color indexed="8"/>
        <rFont val="Arial"/>
        <family val="2"/>
      </rPr>
      <t>Y</t>
    </r>
    <r>
      <rPr>
        <vertAlign val="subscript"/>
        <sz val="12"/>
        <color indexed="8"/>
        <rFont val="Arial"/>
        <family val="2"/>
      </rPr>
      <t>A</t>
    </r>
    <r>
      <rPr>
        <sz val="12"/>
        <color indexed="8"/>
        <rFont val="Arial"/>
        <family val="2"/>
      </rPr>
      <t>)/</t>
    </r>
    <r>
      <rPr>
        <i/>
        <sz val="12"/>
        <color indexed="8"/>
        <rFont val="Arial"/>
        <family val="2"/>
      </rPr>
      <t>Y</t>
    </r>
    <r>
      <rPr>
        <vertAlign val="subscript"/>
        <sz val="12"/>
        <color indexed="8"/>
        <rFont val="Arial"/>
        <family val="2"/>
      </rPr>
      <t>A</t>
    </r>
  </si>
  <si>
    <r>
      <t>-</t>
    </r>
    <r>
      <rPr>
        <i/>
        <sz val="12"/>
        <color indexed="8"/>
        <rFont val="Arial"/>
        <family val="2"/>
      </rPr>
      <t>i</t>
    </r>
    <r>
      <rPr>
        <vertAlign val="subscript"/>
        <sz val="12"/>
        <color indexed="8"/>
        <rFont val="Arial"/>
        <family val="2"/>
      </rPr>
      <t>N,BM</t>
    </r>
    <r>
      <rPr>
        <sz val="12"/>
        <color indexed="8"/>
        <rFont val="Arial"/>
        <family val="2"/>
      </rPr>
      <t>-1</t>
    </r>
    <r>
      <rPr>
        <i/>
        <sz val="12"/>
        <color indexed="8"/>
        <rFont val="Arial"/>
        <family val="2"/>
      </rPr>
      <t>/Y</t>
    </r>
    <r>
      <rPr>
        <vertAlign val="subscript"/>
        <sz val="12"/>
        <color indexed="8"/>
        <rFont val="Arial"/>
        <family val="2"/>
      </rPr>
      <t>A</t>
    </r>
  </si>
  <si>
    <r>
      <t>v</t>
    </r>
    <r>
      <rPr>
        <vertAlign val="subscript"/>
        <sz val="12"/>
        <color indexed="8"/>
        <rFont val="Arial"/>
        <family val="2"/>
      </rPr>
      <t>21_SNH</t>
    </r>
    <r>
      <rPr>
        <i/>
        <sz val="12"/>
        <color indexed="8"/>
        <rFont val="Arial"/>
        <family val="2"/>
      </rPr>
      <t>*i</t>
    </r>
    <r>
      <rPr>
        <vertAlign val="subscript"/>
        <sz val="12"/>
        <color indexed="8"/>
        <rFont val="Arial"/>
        <family val="2"/>
      </rPr>
      <t>Charge_NHx</t>
    </r>
    <r>
      <rPr>
        <i/>
        <sz val="12"/>
        <color indexed="8"/>
        <rFont val="Arial"/>
        <family val="2"/>
      </rPr>
      <t>+v</t>
    </r>
    <r>
      <rPr>
        <vertAlign val="subscript"/>
        <sz val="12"/>
        <color indexed="8"/>
        <rFont val="Arial"/>
        <family val="2"/>
      </rPr>
      <t>21_SPO</t>
    </r>
    <r>
      <rPr>
        <i/>
        <sz val="12"/>
        <color indexed="8"/>
        <rFont val="Arial"/>
        <family val="2"/>
      </rPr>
      <t>*i</t>
    </r>
    <r>
      <rPr>
        <vertAlign val="subscript"/>
        <sz val="12"/>
        <color indexed="8"/>
        <rFont val="Arial"/>
        <family val="2"/>
      </rPr>
      <t>Charge_PO4</t>
    </r>
    <r>
      <rPr>
        <i/>
        <sz val="12"/>
        <color indexed="8"/>
        <rFont val="Arial"/>
        <family val="2"/>
      </rPr>
      <t>+v</t>
    </r>
    <r>
      <rPr>
        <vertAlign val="subscript"/>
        <sz val="12"/>
        <color indexed="8"/>
        <rFont val="Arial"/>
        <family val="2"/>
      </rPr>
      <t>21_SNO</t>
    </r>
    <r>
      <rPr>
        <i/>
        <sz val="12"/>
        <color indexed="8"/>
        <rFont val="Arial"/>
        <family val="2"/>
      </rPr>
      <t>*i</t>
    </r>
    <r>
      <rPr>
        <vertAlign val="subscript"/>
        <sz val="12"/>
        <color indexed="8"/>
        <rFont val="Arial"/>
        <family val="2"/>
      </rPr>
      <t>Charge_NOx</t>
    </r>
  </si>
  <si>
    <r>
      <t>i</t>
    </r>
    <r>
      <rPr>
        <vertAlign val="subscript"/>
        <sz val="12"/>
        <color indexed="57"/>
        <rFont val="Arial"/>
        <family val="2"/>
      </rPr>
      <t>TSS,BM</t>
    </r>
  </si>
  <si>
    <r>
      <t>μ</t>
    </r>
    <r>
      <rPr>
        <vertAlign val="subscript"/>
        <sz val="12"/>
        <color indexed="8"/>
        <rFont val="Arial"/>
        <family val="2"/>
      </rPr>
      <t>A</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57"/>
        <rFont val="Arial"/>
        <family val="2"/>
      </rPr>
      <t>K</t>
    </r>
    <r>
      <rPr>
        <vertAlign val="subscript"/>
        <sz val="12"/>
        <color indexed="57"/>
        <rFont val="Arial"/>
        <family val="2"/>
      </rPr>
      <t>O,A</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NH</t>
    </r>
    <r>
      <rPr>
        <sz val="12"/>
        <color indexed="8"/>
        <rFont val="Arial"/>
        <family val="2"/>
      </rPr>
      <t>/(</t>
    </r>
    <r>
      <rPr>
        <i/>
        <sz val="12"/>
        <color indexed="8"/>
        <rFont val="Arial"/>
        <family val="2"/>
      </rPr>
      <t>K</t>
    </r>
    <r>
      <rPr>
        <vertAlign val="subscript"/>
        <sz val="12"/>
        <color indexed="8"/>
        <rFont val="Arial"/>
        <family val="2"/>
      </rPr>
      <t>NH,A</t>
    </r>
    <r>
      <rPr>
        <sz val="12"/>
        <color indexed="8"/>
        <rFont val="Arial"/>
        <family val="2"/>
      </rPr>
      <t>+</t>
    </r>
    <r>
      <rPr>
        <i/>
        <sz val="12"/>
        <color indexed="8"/>
        <rFont val="Arial"/>
        <family val="2"/>
      </rPr>
      <t>S</t>
    </r>
    <r>
      <rPr>
        <vertAlign val="subscript"/>
        <sz val="12"/>
        <color indexed="8"/>
        <rFont val="Arial"/>
        <family val="2"/>
      </rPr>
      <t>NH</t>
    </r>
    <r>
      <rPr>
        <sz val="12"/>
        <color indexed="8"/>
        <rFont val="Arial"/>
        <family val="2"/>
      </rPr>
      <t>)]*[</t>
    </r>
    <r>
      <rPr>
        <i/>
        <sz val="12"/>
        <color indexed="57"/>
        <rFont val="Arial"/>
        <family val="2"/>
      </rPr>
      <t>S</t>
    </r>
    <r>
      <rPr>
        <vertAlign val="subscript"/>
        <sz val="12"/>
        <color indexed="57"/>
        <rFont val="Arial"/>
        <family val="2"/>
      </rPr>
      <t>PO</t>
    </r>
    <r>
      <rPr>
        <sz val="12"/>
        <color indexed="8"/>
        <rFont val="Arial"/>
        <family val="2"/>
      </rPr>
      <t>/(</t>
    </r>
    <r>
      <rPr>
        <i/>
        <sz val="12"/>
        <color indexed="8"/>
        <rFont val="Arial"/>
        <family val="2"/>
      </rPr>
      <t>K</t>
    </r>
    <r>
      <rPr>
        <vertAlign val="subscript"/>
        <sz val="12"/>
        <color indexed="8"/>
        <rFont val="Arial"/>
        <family val="2"/>
      </rPr>
      <t>P,A</t>
    </r>
    <r>
      <rPr>
        <sz val="12"/>
        <color indexed="8"/>
        <rFont val="Arial"/>
        <family val="2"/>
      </rPr>
      <t>+</t>
    </r>
    <r>
      <rPr>
        <i/>
        <sz val="12"/>
        <color indexed="8"/>
        <rFont val="Arial"/>
        <family val="2"/>
      </rPr>
      <t>S</t>
    </r>
    <r>
      <rPr>
        <vertAlign val="subscript"/>
        <sz val="12"/>
        <color indexed="8"/>
        <rFont val="Arial"/>
        <family val="2"/>
      </rPr>
      <t>PO</t>
    </r>
    <r>
      <rPr>
        <sz val="12"/>
        <color indexed="8"/>
        <rFont val="Arial"/>
        <family val="2"/>
      </rPr>
      <t>)]*[</t>
    </r>
    <r>
      <rPr>
        <i/>
        <sz val="12"/>
        <color indexed="8"/>
        <rFont val="Arial"/>
        <family val="2"/>
      </rPr>
      <t>S</t>
    </r>
    <r>
      <rPr>
        <vertAlign val="subscript"/>
        <sz val="12"/>
        <color indexed="8"/>
        <rFont val="Arial"/>
        <family val="2"/>
      </rPr>
      <t>HCO</t>
    </r>
    <r>
      <rPr>
        <sz val="12"/>
        <color indexed="8"/>
        <rFont val="Arial"/>
        <family val="2"/>
      </rPr>
      <t>/(</t>
    </r>
    <r>
      <rPr>
        <i/>
        <sz val="12"/>
        <color indexed="57"/>
        <rFont val="Arial"/>
        <family val="2"/>
      </rPr>
      <t>K</t>
    </r>
    <r>
      <rPr>
        <vertAlign val="subscript"/>
        <sz val="12"/>
        <color indexed="57"/>
        <rFont val="Arial"/>
        <family val="2"/>
      </rPr>
      <t>HCO,A</t>
    </r>
    <r>
      <rPr>
        <sz val="12"/>
        <color indexed="8"/>
        <rFont val="Arial"/>
        <family val="2"/>
      </rPr>
      <t>+</t>
    </r>
    <r>
      <rPr>
        <i/>
        <sz val="12"/>
        <color indexed="8"/>
        <rFont val="Arial"/>
        <family val="2"/>
      </rPr>
      <t>S</t>
    </r>
    <r>
      <rPr>
        <vertAlign val="subscript"/>
        <sz val="12"/>
        <color indexed="8"/>
        <rFont val="Arial"/>
        <family val="2"/>
      </rPr>
      <t>HCO</t>
    </r>
    <r>
      <rPr>
        <sz val="12"/>
        <color indexed="8"/>
        <rFont val="Arial"/>
        <family val="2"/>
      </rPr>
      <t>)]*</t>
    </r>
    <r>
      <rPr>
        <i/>
        <sz val="12"/>
        <color indexed="8"/>
        <rFont val="Arial"/>
        <family val="2"/>
      </rPr>
      <t>X</t>
    </r>
    <r>
      <rPr>
        <vertAlign val="subscript"/>
        <sz val="12"/>
        <color indexed="8"/>
        <rFont val="Arial"/>
        <family val="2"/>
      </rPr>
      <t>H</t>
    </r>
  </si>
  <si>
    <r>
      <t>Yield for consumption of X</t>
    </r>
    <r>
      <rPr>
        <vertAlign val="subscript"/>
        <sz val="10"/>
        <rFont val="Arial"/>
        <family val="2"/>
      </rPr>
      <t>PAO,PHA</t>
    </r>
    <r>
      <rPr>
        <sz val="10"/>
        <rFont val="Arial"/>
        <family val="2"/>
      </rPr>
      <t xml:space="preserve"> per X</t>
    </r>
    <r>
      <rPr>
        <vertAlign val="subscript"/>
        <sz val="10"/>
        <rFont val="Arial"/>
        <family val="2"/>
      </rPr>
      <t>PAO</t>
    </r>
    <r>
      <rPr>
        <sz val="10"/>
        <rFont val="Arial"/>
        <family val="2"/>
      </rPr>
      <t xml:space="preserve"> formation (Aerobic)</t>
    </r>
  </si>
  <si>
    <r>
      <t xml:space="preserve"> g X</t>
    </r>
    <r>
      <rPr>
        <vertAlign val="subscript"/>
        <sz val="8"/>
        <rFont val="Arial"/>
        <family val="2"/>
      </rPr>
      <t>PHA.</t>
    </r>
    <r>
      <rPr>
        <sz val="8"/>
        <rFont val="Arial"/>
        <family val="2"/>
      </rPr>
      <t>g X</t>
    </r>
    <r>
      <rPr>
        <vertAlign val="subscript"/>
        <sz val="8"/>
        <rFont val="Arial"/>
        <family val="2"/>
      </rPr>
      <t>PAO</t>
    </r>
    <r>
      <rPr>
        <vertAlign val="superscript"/>
        <sz val="10"/>
        <rFont val="Arial"/>
        <family val="2"/>
      </rPr>
      <t>-1</t>
    </r>
  </si>
  <si>
    <r>
      <t>i</t>
    </r>
    <r>
      <rPr>
        <vertAlign val="subscript"/>
        <sz val="12"/>
        <color indexed="8"/>
        <rFont val="Arial"/>
        <family val="2"/>
      </rPr>
      <t>N,BM</t>
    </r>
    <r>
      <rPr>
        <i/>
        <sz val="12"/>
        <color indexed="8"/>
        <rFont val="Arial"/>
        <family val="2"/>
      </rPr>
      <t>-i</t>
    </r>
    <r>
      <rPr>
        <vertAlign val="subscript"/>
        <sz val="12"/>
        <color indexed="8"/>
        <rFont val="Arial"/>
        <family val="2"/>
      </rPr>
      <t>N,XI</t>
    </r>
    <r>
      <rPr>
        <sz val="12"/>
        <color indexed="8"/>
        <rFont val="Arial"/>
        <family val="2"/>
      </rPr>
      <t>*</t>
    </r>
    <r>
      <rPr>
        <i/>
        <sz val="12"/>
        <color indexed="8"/>
        <rFont val="Arial"/>
        <family val="2"/>
      </rPr>
      <t>f</t>
    </r>
    <r>
      <rPr>
        <vertAlign val="subscript"/>
        <sz val="12"/>
        <color indexed="8"/>
        <rFont val="Arial"/>
        <family val="2"/>
      </rPr>
      <t>XI,A</t>
    </r>
    <r>
      <rPr>
        <sz val="12"/>
        <color indexed="8"/>
        <rFont val="Arial"/>
        <family val="2"/>
      </rPr>
      <t>-</t>
    </r>
    <r>
      <rPr>
        <i/>
        <sz val="12"/>
        <color indexed="8"/>
        <rFont val="Arial"/>
        <family val="2"/>
      </rPr>
      <t>i</t>
    </r>
    <r>
      <rPr>
        <vertAlign val="subscript"/>
        <sz val="12"/>
        <color indexed="8"/>
        <rFont val="Arial"/>
        <family val="2"/>
      </rPr>
      <t>N,XS</t>
    </r>
    <r>
      <rPr>
        <i/>
        <sz val="12"/>
        <color indexed="8"/>
        <rFont val="Arial"/>
        <family val="2"/>
      </rPr>
      <t>*</t>
    </r>
    <r>
      <rPr>
        <sz val="12"/>
        <color indexed="8"/>
        <rFont val="Arial"/>
        <family val="2"/>
      </rPr>
      <t>(1-</t>
    </r>
    <r>
      <rPr>
        <i/>
        <sz val="12"/>
        <color indexed="8"/>
        <rFont val="Arial"/>
        <family val="2"/>
      </rPr>
      <t>f</t>
    </r>
    <r>
      <rPr>
        <vertAlign val="subscript"/>
        <sz val="12"/>
        <color indexed="8"/>
        <rFont val="Arial"/>
        <family val="2"/>
      </rPr>
      <t>XI,A</t>
    </r>
    <r>
      <rPr>
        <sz val="12"/>
        <color indexed="8"/>
        <rFont val="Arial"/>
        <family val="2"/>
      </rPr>
      <t>)</t>
    </r>
  </si>
  <si>
    <r>
      <t>i</t>
    </r>
    <r>
      <rPr>
        <vertAlign val="subscript"/>
        <sz val="12"/>
        <color indexed="8"/>
        <rFont val="Arial"/>
        <family val="2"/>
      </rPr>
      <t>P,BM</t>
    </r>
    <r>
      <rPr>
        <i/>
        <sz val="12"/>
        <color indexed="8"/>
        <rFont val="Arial"/>
        <family val="2"/>
      </rPr>
      <t>-i</t>
    </r>
    <r>
      <rPr>
        <vertAlign val="subscript"/>
        <sz val="12"/>
        <color indexed="8"/>
        <rFont val="Arial"/>
        <family val="2"/>
      </rPr>
      <t>P,XI</t>
    </r>
    <r>
      <rPr>
        <sz val="12"/>
        <color indexed="8"/>
        <rFont val="Arial"/>
        <family val="2"/>
      </rPr>
      <t>*</t>
    </r>
    <r>
      <rPr>
        <i/>
        <sz val="12"/>
        <color indexed="8"/>
        <rFont val="Arial"/>
        <family val="2"/>
      </rPr>
      <t>f</t>
    </r>
    <r>
      <rPr>
        <vertAlign val="subscript"/>
        <sz val="12"/>
        <color indexed="8"/>
        <rFont val="Arial"/>
        <family val="2"/>
      </rPr>
      <t>XI,A</t>
    </r>
    <r>
      <rPr>
        <sz val="12"/>
        <color indexed="8"/>
        <rFont val="Arial"/>
        <family val="2"/>
      </rPr>
      <t>-</t>
    </r>
    <r>
      <rPr>
        <i/>
        <sz val="12"/>
        <color indexed="8"/>
        <rFont val="Arial"/>
        <family val="2"/>
      </rPr>
      <t>i</t>
    </r>
    <r>
      <rPr>
        <vertAlign val="subscript"/>
        <sz val="12"/>
        <color indexed="8"/>
        <rFont val="Arial"/>
        <family val="2"/>
      </rPr>
      <t>P,XS</t>
    </r>
    <r>
      <rPr>
        <i/>
        <sz val="12"/>
        <color indexed="8"/>
        <rFont val="Arial"/>
        <family val="2"/>
      </rPr>
      <t>*</t>
    </r>
    <r>
      <rPr>
        <sz val="12"/>
        <color indexed="8"/>
        <rFont val="Arial"/>
        <family val="2"/>
      </rPr>
      <t>(1-</t>
    </r>
    <r>
      <rPr>
        <i/>
        <sz val="12"/>
        <color indexed="8"/>
        <rFont val="Arial"/>
        <family val="2"/>
      </rPr>
      <t>f</t>
    </r>
    <r>
      <rPr>
        <vertAlign val="subscript"/>
        <sz val="12"/>
        <color indexed="8"/>
        <rFont val="Arial"/>
        <family val="2"/>
      </rPr>
      <t>XI,A</t>
    </r>
    <r>
      <rPr>
        <sz val="12"/>
        <color indexed="8"/>
        <rFont val="Arial"/>
        <family val="2"/>
      </rPr>
      <t>)</t>
    </r>
  </si>
  <si>
    <r>
      <t>v</t>
    </r>
    <r>
      <rPr>
        <vertAlign val="subscript"/>
        <sz val="12"/>
        <color indexed="8"/>
        <rFont val="Arial"/>
        <family val="2"/>
      </rPr>
      <t>22_SNH</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22_SPO</t>
    </r>
    <r>
      <rPr>
        <sz val="12"/>
        <color indexed="8"/>
        <rFont val="Arial"/>
        <family val="2"/>
      </rPr>
      <t>*</t>
    </r>
    <r>
      <rPr>
        <i/>
        <sz val="12"/>
        <color indexed="8"/>
        <rFont val="Arial"/>
        <family val="2"/>
      </rPr>
      <t>i</t>
    </r>
    <r>
      <rPr>
        <vertAlign val="subscript"/>
        <sz val="12"/>
        <color indexed="8"/>
        <rFont val="Arial"/>
        <family val="2"/>
      </rPr>
      <t>Charge_PO4</t>
    </r>
  </si>
  <si>
    <r>
      <t>1-</t>
    </r>
    <r>
      <rPr>
        <i/>
        <sz val="12"/>
        <color indexed="8"/>
        <rFont val="Arial"/>
        <family val="2"/>
      </rPr>
      <t>f</t>
    </r>
    <r>
      <rPr>
        <vertAlign val="subscript"/>
        <sz val="12"/>
        <color indexed="8"/>
        <rFont val="Arial"/>
        <family val="2"/>
      </rPr>
      <t>XI,A</t>
    </r>
  </si>
  <si>
    <r>
      <t>i</t>
    </r>
    <r>
      <rPr>
        <vertAlign val="subscript"/>
        <sz val="12"/>
        <color indexed="8"/>
        <rFont val="Arial"/>
        <family val="2"/>
      </rPr>
      <t>TSS,XI</t>
    </r>
    <r>
      <rPr>
        <i/>
        <sz val="12"/>
        <color indexed="8"/>
        <rFont val="Arial"/>
        <family val="2"/>
      </rPr>
      <t>*f</t>
    </r>
    <r>
      <rPr>
        <vertAlign val="subscript"/>
        <sz val="12"/>
        <color indexed="8"/>
        <rFont val="Arial"/>
        <family val="2"/>
      </rPr>
      <t>XI,A</t>
    </r>
    <r>
      <rPr>
        <sz val="12"/>
        <color indexed="8"/>
        <rFont val="Arial"/>
        <family val="2"/>
      </rPr>
      <t>+</t>
    </r>
    <r>
      <rPr>
        <i/>
        <sz val="12"/>
        <color indexed="8"/>
        <rFont val="Arial"/>
        <family val="2"/>
      </rPr>
      <t>i</t>
    </r>
    <r>
      <rPr>
        <vertAlign val="subscript"/>
        <sz val="12"/>
        <color indexed="8"/>
        <rFont val="Arial"/>
        <family val="2"/>
      </rPr>
      <t>TSS,XS</t>
    </r>
    <r>
      <rPr>
        <sz val="12"/>
        <color indexed="8"/>
        <rFont val="Arial"/>
        <family val="2"/>
      </rPr>
      <t>*</t>
    </r>
    <r>
      <rPr>
        <i/>
        <sz val="12"/>
        <color indexed="8"/>
        <rFont val="Arial"/>
        <family val="2"/>
      </rPr>
      <t>(</t>
    </r>
    <r>
      <rPr>
        <sz val="12"/>
        <color indexed="8"/>
        <rFont val="Arial"/>
        <family val="2"/>
      </rPr>
      <t>1-</t>
    </r>
    <r>
      <rPr>
        <i/>
        <sz val="12"/>
        <color indexed="8"/>
        <rFont val="Arial"/>
        <family val="2"/>
      </rPr>
      <t>f</t>
    </r>
    <r>
      <rPr>
        <vertAlign val="subscript"/>
        <sz val="12"/>
        <color indexed="8"/>
        <rFont val="Arial"/>
        <family val="2"/>
      </rPr>
      <t>XI,A</t>
    </r>
    <r>
      <rPr>
        <sz val="12"/>
        <color indexed="8"/>
        <rFont val="Arial"/>
        <family val="2"/>
      </rPr>
      <t>)-</t>
    </r>
    <r>
      <rPr>
        <i/>
        <sz val="12"/>
        <color indexed="8"/>
        <rFont val="Arial"/>
        <family val="2"/>
      </rPr>
      <t>i</t>
    </r>
    <r>
      <rPr>
        <vertAlign val="subscript"/>
        <sz val="12"/>
        <color indexed="8"/>
        <rFont val="Arial"/>
        <family val="2"/>
      </rPr>
      <t>TSS,BM</t>
    </r>
  </si>
  <si>
    <r>
      <t>b</t>
    </r>
    <r>
      <rPr>
        <vertAlign val="subscript"/>
        <sz val="12"/>
        <color indexed="8"/>
        <rFont val="Arial"/>
        <family val="2"/>
      </rPr>
      <t>A</t>
    </r>
    <r>
      <rPr>
        <sz val="12"/>
        <color indexed="8"/>
        <rFont val="Arial"/>
        <family val="2"/>
      </rPr>
      <t>*</t>
    </r>
    <r>
      <rPr>
        <i/>
        <sz val="12"/>
        <color indexed="8"/>
        <rFont val="Arial"/>
        <family val="2"/>
      </rPr>
      <t>X</t>
    </r>
    <r>
      <rPr>
        <vertAlign val="subscript"/>
        <sz val="12"/>
        <color indexed="8"/>
        <rFont val="Arial"/>
        <family val="2"/>
      </rPr>
      <t>A</t>
    </r>
  </si>
  <si>
    <r>
      <t>Yield for consumption of X</t>
    </r>
    <r>
      <rPr>
        <vertAlign val="subscript"/>
        <sz val="10"/>
        <rFont val="Arial"/>
        <family val="2"/>
      </rPr>
      <t>PAO,PHA</t>
    </r>
    <r>
      <rPr>
        <sz val="10"/>
        <rFont val="Arial"/>
        <family val="2"/>
      </rPr>
      <t xml:space="preserve"> per X</t>
    </r>
    <r>
      <rPr>
        <vertAlign val="subscript"/>
        <sz val="10"/>
        <rFont val="Arial"/>
        <family val="2"/>
      </rPr>
      <t>PAO</t>
    </r>
    <r>
      <rPr>
        <sz val="10"/>
        <rFont val="Arial"/>
        <family val="2"/>
      </rPr>
      <t xml:space="preserve"> formation (Anoxic)</t>
    </r>
  </si>
  <si>
    <r>
      <t>Yield for X</t>
    </r>
    <r>
      <rPr>
        <vertAlign val="subscript"/>
        <sz val="10"/>
        <rFont val="Arial"/>
        <family val="2"/>
      </rPr>
      <t>PAO,PP</t>
    </r>
    <r>
      <rPr>
        <sz val="10"/>
        <rFont val="Arial"/>
        <family val="2"/>
      </rPr>
      <t xml:space="preserve"> formation per X</t>
    </r>
    <r>
      <rPr>
        <vertAlign val="subscript"/>
        <sz val="10"/>
        <rFont val="Arial"/>
        <family val="2"/>
      </rPr>
      <t>PAO</t>
    </r>
    <r>
      <rPr>
        <sz val="10"/>
        <rFont val="Arial"/>
        <family val="2"/>
      </rPr>
      <t xml:space="preserve"> (Anoxic)</t>
    </r>
  </si>
  <si>
    <r>
      <t>Yield for X</t>
    </r>
    <r>
      <rPr>
        <vertAlign val="subscript"/>
        <sz val="10"/>
        <rFont val="Arial"/>
        <family val="2"/>
      </rPr>
      <t>PAO,PP</t>
    </r>
    <r>
      <rPr>
        <sz val="10"/>
        <rFont val="Arial"/>
        <family val="2"/>
      </rPr>
      <t xml:space="preserve"> formation per X</t>
    </r>
    <r>
      <rPr>
        <vertAlign val="subscript"/>
        <sz val="10"/>
        <rFont val="Arial"/>
        <family val="2"/>
      </rPr>
      <t>PAO</t>
    </r>
    <r>
      <rPr>
        <sz val="10"/>
        <rFont val="Arial"/>
        <family val="2"/>
      </rPr>
      <t xml:space="preserve"> (Aerobic)</t>
    </r>
  </si>
  <si>
    <r>
      <t>Yield for X</t>
    </r>
    <r>
      <rPr>
        <vertAlign val="subscript"/>
        <sz val="10"/>
        <rFont val="Arial"/>
        <family val="2"/>
      </rPr>
      <t>PAO,PHA</t>
    </r>
    <r>
      <rPr>
        <sz val="10"/>
        <rFont val="Arial"/>
        <family val="2"/>
      </rPr>
      <t xml:space="preserve"> storage per S</t>
    </r>
    <r>
      <rPr>
        <vertAlign val="subscript"/>
        <sz val="10"/>
        <rFont val="Arial"/>
        <family val="2"/>
      </rPr>
      <t>Ac</t>
    </r>
    <r>
      <rPr>
        <sz val="10"/>
        <rFont val="Arial"/>
        <family val="2"/>
      </rPr>
      <t xml:space="preserve"> (Anoxic)</t>
    </r>
  </si>
  <si>
    <r>
      <t xml:space="preserve"> g X</t>
    </r>
    <r>
      <rPr>
        <vertAlign val="subscript"/>
        <sz val="8"/>
        <rFont val="Arial"/>
        <family val="2"/>
      </rPr>
      <t>PHA.</t>
    </r>
    <r>
      <rPr>
        <sz val="8"/>
        <rFont val="Arial"/>
        <family val="2"/>
      </rPr>
      <t>g S</t>
    </r>
    <r>
      <rPr>
        <vertAlign val="subscript"/>
        <sz val="8"/>
        <rFont val="Arial"/>
        <family val="2"/>
      </rPr>
      <t>Ac</t>
    </r>
    <r>
      <rPr>
        <vertAlign val="superscript"/>
        <sz val="10"/>
        <rFont val="Arial"/>
        <family val="2"/>
      </rPr>
      <t>-1</t>
    </r>
  </si>
  <si>
    <r>
      <t>Yield for X</t>
    </r>
    <r>
      <rPr>
        <vertAlign val="subscript"/>
        <sz val="10"/>
        <rFont val="Arial"/>
        <family val="2"/>
      </rPr>
      <t>PAO,PHA</t>
    </r>
    <r>
      <rPr>
        <sz val="10"/>
        <rFont val="Arial"/>
        <family val="2"/>
      </rPr>
      <t xml:space="preserve"> storage per S</t>
    </r>
    <r>
      <rPr>
        <vertAlign val="subscript"/>
        <sz val="10"/>
        <rFont val="Arial"/>
        <family val="2"/>
      </rPr>
      <t>Ac</t>
    </r>
    <r>
      <rPr>
        <sz val="10"/>
        <rFont val="Arial"/>
        <family val="2"/>
      </rPr>
      <t xml:space="preserve"> (Anaerobic)</t>
    </r>
  </si>
  <si>
    <r>
      <t>Yield for X</t>
    </r>
    <r>
      <rPr>
        <vertAlign val="subscript"/>
        <sz val="10"/>
        <rFont val="Arial"/>
        <family val="2"/>
      </rPr>
      <t>PAO,PP</t>
    </r>
    <r>
      <rPr>
        <sz val="10"/>
        <rFont val="Arial"/>
        <family val="2"/>
      </rPr>
      <t xml:space="preserve"> requirement (S</t>
    </r>
    <r>
      <rPr>
        <vertAlign val="subscript"/>
        <sz val="10"/>
        <rFont val="Arial"/>
        <family val="2"/>
      </rPr>
      <t>PO4</t>
    </r>
    <r>
      <rPr>
        <sz val="10"/>
        <rFont val="Arial"/>
        <family val="2"/>
      </rPr>
      <t xml:space="preserve"> release) per X</t>
    </r>
    <r>
      <rPr>
        <vertAlign val="subscript"/>
        <sz val="10"/>
        <rFont val="Arial"/>
        <family val="2"/>
      </rPr>
      <t>PAO,PHA</t>
    </r>
    <r>
      <rPr>
        <sz val="10"/>
        <rFont val="Arial"/>
        <family val="2"/>
      </rPr>
      <t xml:space="preserve"> stored (S</t>
    </r>
    <r>
      <rPr>
        <vertAlign val="subscript"/>
        <sz val="10"/>
        <rFont val="Arial"/>
        <family val="2"/>
      </rPr>
      <t>Ac</t>
    </r>
    <r>
      <rPr>
        <sz val="10"/>
        <rFont val="Arial"/>
        <family val="2"/>
      </rPr>
      <t xml:space="preserve"> utilized) (Anoxic)</t>
    </r>
  </si>
  <si>
    <r>
      <t>Yield for X</t>
    </r>
    <r>
      <rPr>
        <vertAlign val="subscript"/>
        <sz val="10"/>
        <rFont val="Arial"/>
        <family val="2"/>
      </rPr>
      <t>PAO,PP</t>
    </r>
    <r>
      <rPr>
        <sz val="10"/>
        <rFont val="Arial"/>
        <family val="2"/>
      </rPr>
      <t xml:space="preserve"> requirement (S</t>
    </r>
    <r>
      <rPr>
        <vertAlign val="subscript"/>
        <sz val="10"/>
        <rFont val="Arial"/>
        <family val="2"/>
      </rPr>
      <t>PO4</t>
    </r>
    <r>
      <rPr>
        <sz val="10"/>
        <rFont val="Arial"/>
        <family val="2"/>
      </rPr>
      <t xml:space="preserve"> release) per X</t>
    </r>
    <r>
      <rPr>
        <vertAlign val="subscript"/>
        <sz val="10"/>
        <rFont val="Arial"/>
        <family val="2"/>
      </rPr>
      <t>PAO,PHA</t>
    </r>
    <r>
      <rPr>
        <sz val="10"/>
        <rFont val="Arial"/>
        <family val="2"/>
      </rPr>
      <t xml:space="preserve"> stored (S</t>
    </r>
    <r>
      <rPr>
        <vertAlign val="subscript"/>
        <sz val="10"/>
        <rFont val="Arial"/>
        <family val="2"/>
      </rPr>
      <t>Ac</t>
    </r>
    <r>
      <rPr>
        <sz val="10"/>
        <rFont val="Arial"/>
        <family val="2"/>
      </rPr>
      <t xml:space="preserve"> utilized) (Anaerobic)</t>
    </r>
  </si>
  <si>
    <r>
      <t>Yield for formation of X</t>
    </r>
    <r>
      <rPr>
        <vertAlign val="subscript"/>
        <sz val="10"/>
        <rFont val="Arial"/>
        <family val="2"/>
      </rPr>
      <t>PAO,Gly</t>
    </r>
    <r>
      <rPr>
        <sz val="10"/>
        <rFont val="Arial"/>
        <family val="2"/>
      </rPr>
      <t xml:space="preserve"> (Anoxic)</t>
    </r>
  </si>
  <si>
    <r>
      <t xml:space="preserve"> g X</t>
    </r>
    <r>
      <rPr>
        <vertAlign val="subscript"/>
        <sz val="8"/>
        <rFont val="Arial"/>
        <family val="2"/>
      </rPr>
      <t>Gly.</t>
    </r>
    <r>
      <rPr>
        <sz val="8"/>
        <rFont val="Arial"/>
        <family val="2"/>
      </rPr>
      <t>g X</t>
    </r>
    <r>
      <rPr>
        <vertAlign val="subscript"/>
        <sz val="8"/>
        <rFont val="Arial"/>
        <family val="2"/>
      </rPr>
      <t>PAO</t>
    </r>
    <r>
      <rPr>
        <vertAlign val="superscript"/>
        <sz val="10"/>
        <rFont val="Arial"/>
        <family val="2"/>
      </rPr>
      <t>-1</t>
    </r>
  </si>
  <si>
    <r>
      <t>Yield for formation of X</t>
    </r>
    <r>
      <rPr>
        <vertAlign val="subscript"/>
        <sz val="10"/>
        <rFont val="Arial"/>
        <family val="2"/>
      </rPr>
      <t>PAO,Gly</t>
    </r>
    <r>
      <rPr>
        <sz val="10"/>
        <rFont val="Arial"/>
        <family val="2"/>
      </rPr>
      <t xml:space="preserve"> (Aerobic)</t>
    </r>
  </si>
  <si>
    <r>
      <t>mol ATP.mol NADH</t>
    </r>
    <r>
      <rPr>
        <vertAlign val="superscript"/>
        <sz val="10"/>
        <rFont val="Arial"/>
        <family val="2"/>
      </rPr>
      <t>-1</t>
    </r>
  </si>
  <si>
    <r>
      <t>g C.g COD</t>
    </r>
    <r>
      <rPr>
        <vertAlign val="superscript"/>
        <sz val="10"/>
        <rFont val="Arial"/>
        <family val="2"/>
      </rPr>
      <t>-1</t>
    </r>
  </si>
  <si>
    <r>
      <t>i</t>
    </r>
    <r>
      <rPr>
        <vertAlign val="subscript"/>
        <sz val="12"/>
        <color indexed="8"/>
        <rFont val="Arial"/>
        <family val="2"/>
      </rPr>
      <t>N_XCB</t>
    </r>
    <r>
      <rPr>
        <sz val="12"/>
        <color indexed="8"/>
        <rFont val="Arial"/>
        <family val="2"/>
      </rPr>
      <t>-</t>
    </r>
    <r>
      <rPr>
        <i/>
        <sz val="12"/>
        <color indexed="8"/>
        <rFont val="Arial"/>
        <family val="2"/>
      </rPr>
      <t>i</t>
    </r>
    <r>
      <rPr>
        <vertAlign val="subscript"/>
        <sz val="12"/>
        <color indexed="8"/>
        <rFont val="Arial"/>
        <family val="2"/>
      </rPr>
      <t>N_SU</t>
    </r>
    <r>
      <rPr>
        <sz val="12"/>
        <color indexed="8"/>
        <rFont val="Arial"/>
        <family val="2"/>
      </rPr>
      <t>*</t>
    </r>
    <r>
      <rPr>
        <i/>
        <sz val="12"/>
        <color indexed="8"/>
        <rFont val="Arial"/>
        <family val="2"/>
      </rPr>
      <t>f</t>
    </r>
    <r>
      <rPr>
        <vertAlign val="subscript"/>
        <sz val="12"/>
        <color indexed="8"/>
        <rFont val="Arial"/>
        <family val="2"/>
      </rPr>
      <t>SU_XCB,hyd</t>
    </r>
    <r>
      <rPr>
        <sz val="12"/>
        <color indexed="8"/>
        <rFont val="Arial"/>
        <family val="2"/>
      </rPr>
      <t>-</t>
    </r>
    <r>
      <rPr>
        <i/>
        <sz val="12"/>
        <color indexed="8"/>
        <rFont val="Arial"/>
        <family val="2"/>
      </rPr>
      <t>i</t>
    </r>
    <r>
      <rPr>
        <vertAlign val="subscript"/>
        <sz val="12"/>
        <color indexed="8"/>
        <rFont val="Arial"/>
        <family val="2"/>
      </rPr>
      <t>N_SF</t>
    </r>
    <r>
      <rPr>
        <sz val="12"/>
        <color indexed="8"/>
        <rFont val="Arial"/>
        <family val="2"/>
      </rPr>
      <t>*(1-</t>
    </r>
    <r>
      <rPr>
        <i/>
        <sz val="12"/>
        <color indexed="8"/>
        <rFont val="Arial"/>
        <family val="2"/>
      </rPr>
      <t>f</t>
    </r>
    <r>
      <rPr>
        <vertAlign val="subscript"/>
        <sz val="12"/>
        <color indexed="8"/>
        <rFont val="Arial"/>
        <family val="2"/>
      </rPr>
      <t>SU_XCB,hyd</t>
    </r>
    <r>
      <rPr>
        <sz val="12"/>
        <color indexed="8"/>
        <rFont val="Arial"/>
        <family val="2"/>
      </rPr>
      <t>)</t>
    </r>
  </si>
  <si>
    <r>
      <t>i</t>
    </r>
    <r>
      <rPr>
        <vertAlign val="subscript"/>
        <sz val="12"/>
        <color indexed="8"/>
        <rFont val="Arial"/>
        <family val="2"/>
      </rPr>
      <t>P_XCB</t>
    </r>
    <r>
      <rPr>
        <sz val="12"/>
        <color indexed="8"/>
        <rFont val="Arial"/>
        <family val="2"/>
      </rPr>
      <t>-</t>
    </r>
    <r>
      <rPr>
        <i/>
        <sz val="12"/>
        <color indexed="8"/>
        <rFont val="Arial"/>
        <family val="2"/>
      </rPr>
      <t>i</t>
    </r>
    <r>
      <rPr>
        <vertAlign val="subscript"/>
        <sz val="12"/>
        <color indexed="8"/>
        <rFont val="Arial"/>
        <family val="2"/>
      </rPr>
      <t>P_SU</t>
    </r>
    <r>
      <rPr>
        <sz val="12"/>
        <color indexed="8"/>
        <rFont val="Arial"/>
        <family val="2"/>
      </rPr>
      <t>*</t>
    </r>
    <r>
      <rPr>
        <i/>
        <sz val="12"/>
        <color indexed="8"/>
        <rFont val="Arial"/>
        <family val="2"/>
      </rPr>
      <t>f</t>
    </r>
    <r>
      <rPr>
        <vertAlign val="subscript"/>
        <sz val="12"/>
        <color indexed="8"/>
        <rFont val="Arial"/>
        <family val="2"/>
      </rPr>
      <t>SU_XCB,hyd</t>
    </r>
    <r>
      <rPr>
        <sz val="12"/>
        <color indexed="8"/>
        <rFont val="Arial"/>
        <family val="2"/>
      </rPr>
      <t>-</t>
    </r>
    <r>
      <rPr>
        <i/>
        <sz val="12"/>
        <color indexed="8"/>
        <rFont val="Arial"/>
        <family val="2"/>
      </rPr>
      <t>i</t>
    </r>
    <r>
      <rPr>
        <vertAlign val="subscript"/>
        <sz val="12"/>
        <color indexed="8"/>
        <rFont val="Arial"/>
        <family val="2"/>
      </rPr>
      <t>P_SF</t>
    </r>
    <r>
      <rPr>
        <sz val="12"/>
        <color indexed="8"/>
        <rFont val="Arial"/>
        <family val="2"/>
      </rPr>
      <t>*(1-</t>
    </r>
    <r>
      <rPr>
        <i/>
        <sz val="12"/>
        <color indexed="8"/>
        <rFont val="Arial"/>
        <family val="2"/>
      </rPr>
      <t>f</t>
    </r>
    <r>
      <rPr>
        <vertAlign val="subscript"/>
        <sz val="12"/>
        <color indexed="8"/>
        <rFont val="Arial"/>
        <family val="2"/>
      </rPr>
      <t>SU_XCB,hyd</t>
    </r>
    <r>
      <rPr>
        <sz val="12"/>
        <color indexed="8"/>
        <rFont val="Arial"/>
        <family val="2"/>
      </rPr>
      <t>)</t>
    </r>
  </si>
  <si>
    <r>
      <t>v</t>
    </r>
    <r>
      <rPr>
        <vertAlign val="subscript"/>
        <sz val="12"/>
        <color indexed="8"/>
        <rFont val="Arial"/>
        <family val="2"/>
      </rPr>
      <t>1_SNHx</t>
    </r>
    <r>
      <rPr>
        <sz val="12"/>
        <color indexed="8"/>
        <rFont val="Arial"/>
        <family val="2"/>
      </rPr>
      <t>*</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1_SPO4</t>
    </r>
    <r>
      <rPr>
        <sz val="12"/>
        <color indexed="8"/>
        <rFont val="Arial"/>
        <family val="2"/>
      </rPr>
      <t>*</t>
    </r>
    <r>
      <rPr>
        <i/>
        <sz val="12"/>
        <color indexed="8"/>
        <rFont val="Arial"/>
        <family val="2"/>
      </rPr>
      <t>i</t>
    </r>
    <r>
      <rPr>
        <vertAlign val="subscript"/>
        <sz val="12"/>
        <color indexed="8"/>
        <rFont val="Arial"/>
        <family val="2"/>
      </rPr>
      <t>Charge_PO4</t>
    </r>
  </si>
  <si>
    <r>
      <t>q</t>
    </r>
    <r>
      <rPr>
        <vertAlign val="subscript"/>
        <sz val="12"/>
        <color indexed="8"/>
        <rFont val="Arial"/>
        <family val="2"/>
      </rPr>
      <t>XCB_SB,hyd</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XCB,hyd</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O2</t>
    </r>
    <r>
      <rPr>
        <sz val="12"/>
        <color indexed="10"/>
        <rFont val="Arial"/>
        <family val="2"/>
      </rPr>
      <t>/(</t>
    </r>
    <r>
      <rPr>
        <i/>
        <sz val="12"/>
        <color indexed="10"/>
        <rFont val="Arial"/>
        <family val="2"/>
      </rPr>
      <t>K</t>
    </r>
    <r>
      <rPr>
        <vertAlign val="subscript"/>
        <sz val="12"/>
        <color indexed="10"/>
        <rFont val="Arial"/>
        <family val="2"/>
      </rPr>
      <t>O2,hyd</t>
    </r>
    <r>
      <rPr>
        <sz val="12"/>
        <color indexed="10"/>
        <rFont val="Arial"/>
        <family val="2"/>
      </rPr>
      <t>+</t>
    </r>
    <r>
      <rPr>
        <i/>
        <sz val="12"/>
        <color indexed="10"/>
        <rFont val="Arial"/>
        <family val="2"/>
      </rPr>
      <t>S</t>
    </r>
    <r>
      <rPr>
        <vertAlign val="subscript"/>
        <sz val="12"/>
        <color indexed="10"/>
        <rFont val="Arial"/>
        <family val="2"/>
      </rPr>
      <t>O2</t>
    </r>
    <r>
      <rPr>
        <sz val="12"/>
        <color indexed="10"/>
        <rFont val="Arial"/>
        <family val="2"/>
      </rPr>
      <t>)]</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</si>
  <si>
    <r>
      <t>Fraction of X</t>
    </r>
    <r>
      <rPr>
        <vertAlign val="subscript"/>
        <sz val="10"/>
        <rFont val="Arial"/>
        <family val="2"/>
      </rPr>
      <t>U</t>
    </r>
    <r>
      <rPr>
        <sz val="10"/>
        <rFont val="Arial"/>
        <family val="2"/>
      </rPr>
      <t xml:space="preserve"> generated in X</t>
    </r>
    <r>
      <rPr>
        <vertAlign val="subscript"/>
        <sz val="10"/>
        <rFont val="Arial"/>
        <family val="2"/>
      </rPr>
      <t>ANO</t>
    </r>
    <r>
      <rPr>
        <sz val="10"/>
        <rFont val="Arial"/>
        <family val="2"/>
      </rPr>
      <t xml:space="preserve"> decay</t>
    </r>
  </si>
  <si>
    <r>
      <t>g X</t>
    </r>
    <r>
      <rPr>
        <vertAlign val="subscript"/>
        <sz val="8"/>
        <rFont val="Arial"/>
        <family val="2"/>
      </rPr>
      <t>U</t>
    </r>
    <r>
      <rPr>
        <sz val="8"/>
        <rFont val="Arial"/>
        <family val="2"/>
      </rPr>
      <t>.g X</t>
    </r>
    <r>
      <rPr>
        <vertAlign val="subscript"/>
        <sz val="8"/>
        <rFont val="Arial"/>
        <family val="2"/>
      </rPr>
      <t>ANO</t>
    </r>
    <r>
      <rPr>
        <vertAlign val="superscript"/>
        <sz val="10"/>
        <rFont val="Arial"/>
        <family val="2"/>
      </rPr>
      <t>-1</t>
    </r>
  </si>
  <si>
    <r>
      <t>q</t>
    </r>
    <r>
      <rPr>
        <vertAlign val="subscript"/>
        <sz val="12"/>
        <color indexed="8"/>
        <rFont val="Arial"/>
        <family val="2"/>
      </rPr>
      <t>XCB_SB,hyd</t>
    </r>
    <r>
      <rPr>
        <sz val="12"/>
        <color indexed="8"/>
        <rFont val="Arial"/>
        <family val="2"/>
      </rPr>
      <t>*</t>
    </r>
    <r>
      <rPr>
        <i/>
        <sz val="12"/>
        <color indexed="8"/>
        <rFont val="Arial"/>
        <family val="2"/>
      </rPr>
      <t>n</t>
    </r>
    <r>
      <rPr>
        <vertAlign val="subscript"/>
        <sz val="12"/>
        <color indexed="8"/>
        <rFont val="Arial"/>
        <family val="2"/>
      </rPr>
      <t>qhyd,Ax</t>
    </r>
    <r>
      <rPr>
        <sz val="12"/>
        <color indexed="8"/>
        <rFont val="Arial"/>
        <family val="2"/>
      </rPr>
      <t>*[</t>
    </r>
    <r>
      <rPr>
        <i/>
        <sz val="12"/>
        <color indexed="8"/>
        <rFont val="Arial"/>
        <family val="2"/>
      </rPr>
      <t>K</t>
    </r>
    <r>
      <rPr>
        <vertAlign val="subscript"/>
        <sz val="12"/>
        <color indexed="8"/>
        <rFont val="Arial"/>
        <family val="2"/>
      </rPr>
      <t>O2,hyd</t>
    </r>
    <r>
      <rPr>
        <sz val="12"/>
        <color indexed="8"/>
        <rFont val="Arial"/>
        <family val="2"/>
      </rPr>
      <t>/(</t>
    </r>
    <r>
      <rPr>
        <i/>
        <sz val="12"/>
        <color indexed="8"/>
        <rFont val="Arial"/>
        <family val="2"/>
      </rPr>
      <t>K</t>
    </r>
    <r>
      <rPr>
        <vertAlign val="subscript"/>
        <sz val="12"/>
        <color indexed="8"/>
        <rFont val="Arial"/>
        <family val="2"/>
      </rPr>
      <t>O2,hyd</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NOx,hyd</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XCB,hyd</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</si>
  <si>
    <t>* Koch G., M. Kuhni, W. Gujer and H. Siegrist (2000). Calibration and validation of activated sludge model no. 3 for Swiss municipal wastewater.Water research 34(14), 3580-3590</t>
  </si>
  <si>
    <r>
      <t>S</t>
    </r>
    <r>
      <rPr>
        <vertAlign val="subscript"/>
        <sz val="12"/>
        <rFont val="Arial"/>
        <family val="2"/>
      </rPr>
      <t>NOX</t>
    </r>
  </si>
  <si>
    <r>
      <t>q</t>
    </r>
    <r>
      <rPr>
        <vertAlign val="subscript"/>
        <sz val="12"/>
        <color indexed="8"/>
        <rFont val="Arial"/>
        <family val="2"/>
      </rPr>
      <t>XCB_SB,hyd</t>
    </r>
    <r>
      <rPr>
        <sz val="12"/>
        <color indexed="8"/>
        <rFont val="Arial"/>
        <family val="2"/>
      </rPr>
      <t>*</t>
    </r>
    <r>
      <rPr>
        <i/>
        <sz val="12"/>
        <color indexed="8"/>
        <rFont val="Arial"/>
        <family val="2"/>
      </rPr>
      <t>n</t>
    </r>
    <r>
      <rPr>
        <vertAlign val="subscript"/>
        <sz val="12"/>
        <color indexed="8"/>
        <rFont val="Arial"/>
        <family val="2"/>
      </rPr>
      <t>qhyd,An</t>
    </r>
    <r>
      <rPr>
        <sz val="12"/>
        <color indexed="8"/>
        <rFont val="Arial"/>
        <family val="2"/>
      </rPr>
      <t>*[</t>
    </r>
    <r>
      <rPr>
        <i/>
        <sz val="12"/>
        <color indexed="8"/>
        <rFont val="Arial"/>
        <family val="2"/>
      </rPr>
      <t>K</t>
    </r>
    <r>
      <rPr>
        <vertAlign val="subscript"/>
        <sz val="12"/>
        <color indexed="8"/>
        <rFont val="Arial"/>
        <family val="2"/>
      </rPr>
      <t>O2,hyd</t>
    </r>
    <r>
      <rPr>
        <sz val="12"/>
        <color indexed="8"/>
        <rFont val="Arial"/>
        <family val="2"/>
      </rPr>
      <t>/(</t>
    </r>
    <r>
      <rPr>
        <i/>
        <sz val="12"/>
        <color indexed="8"/>
        <rFont val="Arial"/>
        <family val="2"/>
      </rPr>
      <t>K</t>
    </r>
    <r>
      <rPr>
        <vertAlign val="subscript"/>
        <sz val="12"/>
        <color indexed="8"/>
        <rFont val="Arial"/>
        <family val="2"/>
      </rPr>
      <t>O2,hyd</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NOx,hyd</t>
    </r>
    <r>
      <rPr>
        <sz val="12"/>
        <color indexed="8"/>
        <rFont val="Arial"/>
        <family val="2"/>
      </rPr>
      <t>/(</t>
    </r>
    <r>
      <rPr>
        <i/>
        <sz val="12"/>
        <color indexed="8"/>
        <rFont val="Arial"/>
        <family val="2"/>
      </rPr>
      <t>K</t>
    </r>
    <r>
      <rPr>
        <vertAlign val="subscript"/>
        <sz val="12"/>
        <color indexed="8"/>
        <rFont val="Arial"/>
        <family val="2"/>
      </rPr>
      <t>NOx,hyd</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XCB,hyd</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</si>
  <si>
    <r>
      <t>Aerobic growth of X</t>
    </r>
    <r>
      <rPr>
        <b/>
        <vertAlign val="subscript"/>
        <sz val="12"/>
        <color indexed="8"/>
        <rFont val="Arial"/>
        <family val="2"/>
      </rPr>
      <t>OHO</t>
    </r>
    <r>
      <rPr>
        <b/>
        <sz val="12"/>
        <color indexed="8"/>
        <rFont val="Arial"/>
        <family val="2"/>
      </rPr>
      <t xml:space="preserve"> on S</t>
    </r>
    <r>
      <rPr>
        <b/>
        <vertAlign val="subscript"/>
        <sz val="12"/>
        <color indexed="8"/>
        <rFont val="Arial"/>
        <family val="2"/>
      </rPr>
      <t>F</t>
    </r>
  </si>
  <si>
    <r>
      <t>-(1-</t>
    </r>
    <r>
      <rPr>
        <i/>
        <sz val="12"/>
        <color indexed="8"/>
        <rFont val="Arial"/>
        <family val="2"/>
      </rPr>
      <t>Y</t>
    </r>
    <r>
      <rPr>
        <vertAlign val="subscript"/>
        <sz val="12"/>
        <color indexed="8"/>
        <rFont val="Arial"/>
        <family val="2"/>
      </rPr>
      <t>OHO</t>
    </r>
    <r>
      <rPr>
        <sz val="12"/>
        <color indexed="8"/>
        <rFont val="Arial"/>
        <family val="2"/>
      </rPr>
      <t>)/</t>
    </r>
    <r>
      <rPr>
        <i/>
        <sz val="12"/>
        <color indexed="8"/>
        <rFont val="Arial"/>
        <family val="2"/>
      </rPr>
      <t>Y</t>
    </r>
    <r>
      <rPr>
        <vertAlign val="subscript"/>
        <sz val="12"/>
        <color indexed="8"/>
        <rFont val="Arial"/>
        <family val="2"/>
      </rPr>
      <t>OHO</t>
    </r>
  </si>
  <si>
    <r>
      <t>i</t>
    </r>
    <r>
      <rPr>
        <vertAlign val="subscript"/>
        <sz val="12"/>
        <color indexed="8"/>
        <rFont val="Arial"/>
        <family val="2"/>
      </rPr>
      <t>N_SF</t>
    </r>
    <r>
      <rPr>
        <sz val="12"/>
        <color indexed="8"/>
        <rFont val="Arial"/>
        <family val="2"/>
      </rPr>
      <t>/</t>
    </r>
    <r>
      <rPr>
        <i/>
        <sz val="12"/>
        <color indexed="8"/>
        <rFont val="Arial"/>
        <family val="2"/>
      </rPr>
      <t>Y</t>
    </r>
    <r>
      <rPr>
        <vertAlign val="subscript"/>
        <sz val="12"/>
        <color indexed="8"/>
        <rFont val="Arial"/>
        <family val="2"/>
      </rPr>
      <t>OHO</t>
    </r>
    <r>
      <rPr>
        <sz val="12"/>
        <color indexed="8"/>
        <rFont val="Arial"/>
        <family val="2"/>
      </rPr>
      <t>-</t>
    </r>
    <r>
      <rPr>
        <i/>
        <sz val="12"/>
        <color indexed="8"/>
        <rFont val="Arial"/>
        <family val="2"/>
      </rPr>
      <t>i</t>
    </r>
    <r>
      <rPr>
        <vertAlign val="subscript"/>
        <sz val="12"/>
        <color indexed="8"/>
        <rFont val="Arial"/>
        <family val="2"/>
      </rPr>
      <t>N_XBio</t>
    </r>
  </si>
  <si>
    <r>
      <t>i</t>
    </r>
    <r>
      <rPr>
        <vertAlign val="subscript"/>
        <sz val="12"/>
        <color indexed="8"/>
        <rFont val="Arial"/>
        <family val="2"/>
      </rPr>
      <t>P_SF</t>
    </r>
    <r>
      <rPr>
        <sz val="12"/>
        <color indexed="8"/>
        <rFont val="Arial"/>
        <family val="2"/>
      </rPr>
      <t>/</t>
    </r>
    <r>
      <rPr>
        <i/>
        <sz val="12"/>
        <color indexed="8"/>
        <rFont val="Arial"/>
        <family val="2"/>
      </rPr>
      <t>Y</t>
    </r>
    <r>
      <rPr>
        <vertAlign val="subscript"/>
        <sz val="12"/>
        <color indexed="8"/>
        <rFont val="Arial"/>
        <family val="2"/>
      </rPr>
      <t>OHO</t>
    </r>
    <r>
      <rPr>
        <sz val="12"/>
        <color indexed="8"/>
        <rFont val="Arial"/>
        <family val="2"/>
      </rPr>
      <t>-</t>
    </r>
    <r>
      <rPr>
        <i/>
        <sz val="12"/>
        <color indexed="8"/>
        <rFont val="Arial"/>
        <family val="2"/>
      </rPr>
      <t>i</t>
    </r>
    <r>
      <rPr>
        <vertAlign val="subscript"/>
        <sz val="12"/>
        <color indexed="8"/>
        <rFont val="Arial"/>
        <family val="2"/>
      </rPr>
      <t>P_XBio</t>
    </r>
  </si>
  <si>
    <r>
      <t>v</t>
    </r>
    <r>
      <rPr>
        <vertAlign val="subscript"/>
        <sz val="12"/>
        <color indexed="8"/>
        <rFont val="Arial"/>
        <family val="2"/>
      </rPr>
      <t>4_SNHx</t>
    </r>
    <r>
      <rPr>
        <sz val="12"/>
        <color indexed="8"/>
        <rFont val="Arial"/>
        <family val="2"/>
      </rPr>
      <t>*</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4_SPO4</t>
    </r>
    <r>
      <rPr>
        <sz val="12"/>
        <color indexed="8"/>
        <rFont val="Arial"/>
        <family val="2"/>
      </rPr>
      <t>*</t>
    </r>
    <r>
      <rPr>
        <i/>
        <sz val="12"/>
        <color indexed="8"/>
        <rFont val="Arial"/>
        <family val="2"/>
      </rPr>
      <t>i</t>
    </r>
    <r>
      <rPr>
        <vertAlign val="subscript"/>
        <sz val="12"/>
        <color indexed="8"/>
        <rFont val="Arial"/>
        <family val="2"/>
      </rPr>
      <t>Charge_PO4</t>
    </r>
  </si>
  <si>
    <r>
      <t>μ</t>
    </r>
    <r>
      <rPr>
        <vertAlign val="subscript"/>
        <sz val="12"/>
        <color indexed="8"/>
        <rFont val="Arial"/>
        <family val="2"/>
      </rPr>
      <t>OHO,Max</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SF,OHO</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PO4,OHO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K</t>
    </r>
    <r>
      <rPr>
        <vertAlign val="subscript"/>
        <sz val="12"/>
        <color indexed="8"/>
        <rFont val="Arial"/>
        <family val="2"/>
      </rPr>
      <t>Alk,OHO</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X</t>
    </r>
    <r>
      <rPr>
        <vertAlign val="subscript"/>
        <sz val="12"/>
        <color indexed="8"/>
        <rFont val="Arial"/>
        <family val="2"/>
      </rPr>
      <t>OHO</t>
    </r>
  </si>
  <si>
    <r>
      <t>Aerobic growth of X</t>
    </r>
    <r>
      <rPr>
        <b/>
        <vertAlign val="subscript"/>
        <sz val="12"/>
        <color indexed="8"/>
        <rFont val="Arial"/>
        <family val="2"/>
      </rPr>
      <t>OHO</t>
    </r>
    <r>
      <rPr>
        <b/>
        <sz val="12"/>
        <color indexed="8"/>
        <rFont val="Arial"/>
        <family val="2"/>
      </rPr>
      <t xml:space="preserve"> on S</t>
    </r>
    <r>
      <rPr>
        <b/>
        <vertAlign val="subscript"/>
        <sz val="12"/>
        <color indexed="8"/>
        <rFont val="Arial"/>
        <family val="2"/>
      </rPr>
      <t>Ac</t>
    </r>
  </si>
  <si>
    <r>
      <t>v</t>
    </r>
    <r>
      <rPr>
        <vertAlign val="subscript"/>
        <sz val="12"/>
        <color indexed="8"/>
        <rFont val="Arial"/>
        <family val="2"/>
      </rPr>
      <t>5_SNHx</t>
    </r>
    <r>
      <rPr>
        <sz val="12"/>
        <color indexed="8"/>
        <rFont val="Arial"/>
        <family val="2"/>
      </rPr>
      <t>*</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5_SPO4</t>
    </r>
    <r>
      <rPr>
        <sz val="12"/>
        <color indexed="8"/>
        <rFont val="Arial"/>
        <family val="2"/>
      </rPr>
      <t>*</t>
    </r>
    <r>
      <rPr>
        <i/>
        <sz val="12"/>
        <color indexed="8"/>
        <rFont val="Arial"/>
        <family val="2"/>
      </rPr>
      <t>i</t>
    </r>
    <r>
      <rPr>
        <vertAlign val="subscript"/>
        <sz val="12"/>
        <color indexed="8"/>
        <rFont val="Arial"/>
        <family val="2"/>
      </rPr>
      <t>Charge_PO4</t>
    </r>
    <r>
      <rPr>
        <sz val="12"/>
        <color indexed="8"/>
        <rFont val="Arial"/>
        <family val="2"/>
      </rPr>
      <t>+</t>
    </r>
    <r>
      <rPr>
        <i/>
        <sz val="12"/>
        <color indexed="8"/>
        <rFont val="Arial"/>
        <family val="2"/>
      </rPr>
      <t>v</t>
    </r>
    <r>
      <rPr>
        <vertAlign val="subscript"/>
        <sz val="12"/>
        <color indexed="8"/>
        <rFont val="Arial"/>
        <family val="2"/>
      </rPr>
      <t>5_SA</t>
    </r>
    <r>
      <rPr>
        <sz val="12"/>
        <color indexed="8"/>
        <rFont val="Arial"/>
        <family val="2"/>
      </rPr>
      <t>*</t>
    </r>
    <r>
      <rPr>
        <i/>
        <sz val="12"/>
        <color indexed="8"/>
        <rFont val="Arial"/>
        <family val="2"/>
      </rPr>
      <t>i</t>
    </r>
    <r>
      <rPr>
        <vertAlign val="subscript"/>
        <sz val="12"/>
        <color indexed="8"/>
        <rFont val="Arial"/>
        <family val="2"/>
      </rPr>
      <t>Charge_Ac</t>
    </r>
  </si>
  <si>
    <r>
      <t>μ</t>
    </r>
    <r>
      <rPr>
        <vertAlign val="subscript"/>
        <sz val="12"/>
        <color indexed="8"/>
        <rFont val="Arial"/>
        <family val="2"/>
      </rPr>
      <t>OHO,Max</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K</t>
    </r>
    <r>
      <rPr>
        <vertAlign val="subscript"/>
        <sz val="12"/>
        <color indexed="8"/>
        <rFont val="Arial"/>
        <family val="2"/>
      </rPr>
      <t>Ac,OHO</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PO4,OHO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K</t>
    </r>
    <r>
      <rPr>
        <vertAlign val="subscript"/>
        <sz val="12"/>
        <color indexed="8"/>
        <rFont val="Arial"/>
        <family val="2"/>
      </rPr>
      <t>Alk,OHO</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X</t>
    </r>
    <r>
      <rPr>
        <vertAlign val="subscript"/>
        <sz val="12"/>
        <color indexed="8"/>
        <rFont val="Arial"/>
        <family val="2"/>
      </rPr>
      <t>OHO</t>
    </r>
  </si>
  <si>
    <r>
      <t>Anoxic growth of X</t>
    </r>
    <r>
      <rPr>
        <b/>
        <vertAlign val="subscript"/>
        <sz val="12"/>
        <color indexed="8"/>
        <rFont val="Arial"/>
        <family val="2"/>
      </rPr>
      <t>OHO</t>
    </r>
    <r>
      <rPr>
        <b/>
        <sz val="12"/>
        <color indexed="8"/>
        <rFont val="Arial"/>
        <family val="2"/>
      </rPr>
      <t xml:space="preserve"> on S</t>
    </r>
    <r>
      <rPr>
        <b/>
        <vertAlign val="subscript"/>
        <sz val="12"/>
        <color indexed="8"/>
        <rFont val="Arial"/>
        <family val="2"/>
      </rPr>
      <t>F</t>
    </r>
  </si>
  <si>
    <r>
      <t>-(1-</t>
    </r>
    <r>
      <rPr>
        <i/>
        <sz val="12"/>
        <color indexed="8"/>
        <rFont val="Arial"/>
        <family val="2"/>
      </rPr>
      <t>Y</t>
    </r>
    <r>
      <rPr>
        <vertAlign val="subscript"/>
        <sz val="12"/>
        <color indexed="8"/>
        <rFont val="Arial"/>
        <family val="2"/>
      </rPr>
      <t>OHO</t>
    </r>
    <r>
      <rPr>
        <sz val="12"/>
        <color indexed="8"/>
        <rFont val="Arial"/>
        <family val="2"/>
      </rPr>
      <t>)/(</t>
    </r>
    <r>
      <rPr>
        <i/>
        <sz val="12"/>
        <color indexed="8"/>
        <rFont val="Arial"/>
        <family val="2"/>
      </rPr>
      <t>i</t>
    </r>
    <r>
      <rPr>
        <vertAlign val="subscript"/>
        <sz val="12"/>
        <color indexed="8"/>
        <rFont val="Arial"/>
        <family val="2"/>
      </rPr>
      <t>NOx,N2</t>
    </r>
    <r>
      <rPr>
        <sz val="12"/>
        <color indexed="8"/>
        <rFont val="Arial"/>
        <family val="2"/>
      </rPr>
      <t>*</t>
    </r>
    <r>
      <rPr>
        <i/>
        <sz val="12"/>
        <color indexed="8"/>
        <rFont val="Arial"/>
        <family val="2"/>
      </rPr>
      <t>Y</t>
    </r>
    <r>
      <rPr>
        <vertAlign val="subscript"/>
        <sz val="12"/>
        <color indexed="8"/>
        <rFont val="Arial"/>
        <family val="2"/>
      </rPr>
      <t>OHO</t>
    </r>
    <r>
      <rPr>
        <sz val="12"/>
        <color indexed="8"/>
        <rFont val="Arial"/>
        <family val="2"/>
      </rPr>
      <t>)</t>
    </r>
  </si>
  <si>
    <r>
      <t>(1-</t>
    </r>
    <r>
      <rPr>
        <i/>
        <sz val="12"/>
        <color indexed="8"/>
        <rFont val="Arial"/>
        <family val="2"/>
      </rPr>
      <t>Y</t>
    </r>
    <r>
      <rPr>
        <vertAlign val="subscript"/>
        <sz val="12"/>
        <color indexed="8"/>
        <rFont val="Arial"/>
        <family val="2"/>
      </rPr>
      <t>OHO</t>
    </r>
    <r>
      <rPr>
        <sz val="12"/>
        <color indexed="8"/>
        <rFont val="Arial"/>
        <family val="2"/>
      </rPr>
      <t>)/(</t>
    </r>
    <r>
      <rPr>
        <i/>
        <sz val="12"/>
        <color indexed="8"/>
        <rFont val="Arial"/>
        <family val="2"/>
      </rPr>
      <t>i</t>
    </r>
    <r>
      <rPr>
        <vertAlign val="subscript"/>
        <sz val="12"/>
        <color indexed="8"/>
        <rFont val="Arial"/>
        <family val="2"/>
      </rPr>
      <t>NOx,N2</t>
    </r>
    <r>
      <rPr>
        <sz val="12"/>
        <color indexed="8"/>
        <rFont val="Arial"/>
        <family val="2"/>
      </rPr>
      <t>*</t>
    </r>
    <r>
      <rPr>
        <i/>
        <sz val="12"/>
        <color indexed="8"/>
        <rFont val="Arial"/>
        <family val="2"/>
      </rPr>
      <t>Y</t>
    </r>
    <r>
      <rPr>
        <vertAlign val="subscript"/>
        <sz val="12"/>
        <color indexed="8"/>
        <rFont val="Arial"/>
        <family val="2"/>
      </rPr>
      <t>OHO</t>
    </r>
    <r>
      <rPr>
        <sz val="12"/>
        <color indexed="8"/>
        <rFont val="Arial"/>
        <family val="2"/>
      </rPr>
      <t>)</t>
    </r>
  </si>
  <si>
    <r>
      <t>v</t>
    </r>
    <r>
      <rPr>
        <vertAlign val="subscript"/>
        <sz val="12"/>
        <color indexed="8"/>
        <rFont val="Arial"/>
        <family val="2"/>
      </rPr>
      <t>6_SNHx</t>
    </r>
    <r>
      <rPr>
        <sz val="12"/>
        <color indexed="8"/>
        <rFont val="Arial"/>
        <family val="2"/>
      </rPr>
      <t>*</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6_SPO4</t>
    </r>
    <r>
      <rPr>
        <sz val="12"/>
        <color indexed="8"/>
        <rFont val="Arial"/>
        <family val="2"/>
      </rPr>
      <t>*</t>
    </r>
    <r>
      <rPr>
        <i/>
        <sz val="12"/>
        <color indexed="8"/>
        <rFont val="Arial"/>
        <family val="2"/>
      </rPr>
      <t>i</t>
    </r>
    <r>
      <rPr>
        <vertAlign val="subscript"/>
        <sz val="12"/>
        <color indexed="8"/>
        <rFont val="Arial"/>
        <family val="2"/>
      </rPr>
      <t>Charge_PO4</t>
    </r>
    <r>
      <rPr>
        <sz val="12"/>
        <color indexed="8"/>
        <rFont val="Arial"/>
        <family val="2"/>
      </rPr>
      <t>+</t>
    </r>
    <r>
      <rPr>
        <i/>
        <sz val="12"/>
        <color indexed="8"/>
        <rFont val="Arial"/>
        <family val="2"/>
      </rPr>
      <t>v</t>
    </r>
    <r>
      <rPr>
        <vertAlign val="subscript"/>
        <sz val="12"/>
        <color indexed="8"/>
        <rFont val="Arial"/>
        <family val="2"/>
      </rPr>
      <t>6_SNO</t>
    </r>
    <r>
      <rPr>
        <sz val="12"/>
        <color indexed="8"/>
        <rFont val="Arial"/>
        <family val="2"/>
      </rPr>
      <t>*</t>
    </r>
    <r>
      <rPr>
        <i/>
        <sz val="12"/>
        <color indexed="8"/>
        <rFont val="Arial"/>
        <family val="2"/>
      </rPr>
      <t>i</t>
    </r>
    <r>
      <rPr>
        <vertAlign val="subscript"/>
        <sz val="12"/>
        <color indexed="8"/>
        <rFont val="Arial"/>
        <family val="2"/>
      </rPr>
      <t>Charge_NOx</t>
    </r>
  </si>
  <si>
    <r>
      <t>μ</t>
    </r>
    <r>
      <rPr>
        <vertAlign val="subscript"/>
        <sz val="12"/>
        <color indexed="8"/>
        <rFont val="Arial"/>
        <family val="2"/>
      </rPr>
      <t>OHO,Max</t>
    </r>
    <r>
      <rPr>
        <sz val="12"/>
        <color indexed="8"/>
        <rFont val="Arial"/>
        <family val="2"/>
      </rPr>
      <t>*</t>
    </r>
    <r>
      <rPr>
        <i/>
        <sz val="12"/>
        <color indexed="8"/>
        <rFont val="Arial"/>
        <family val="2"/>
      </rPr>
      <t>n</t>
    </r>
    <r>
      <rPr>
        <vertAlign val="subscript"/>
        <sz val="12"/>
        <color indexed="8"/>
        <rFont val="Arial"/>
        <family val="2"/>
      </rPr>
      <t>qOHO,Ax</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SF,OHO</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PO4,OHO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K</t>
    </r>
    <r>
      <rPr>
        <vertAlign val="subscript"/>
        <sz val="12"/>
        <color indexed="8"/>
        <rFont val="Arial"/>
        <family val="2"/>
      </rPr>
      <t>Alk,OHO</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X</t>
    </r>
    <r>
      <rPr>
        <vertAlign val="subscript"/>
        <sz val="12"/>
        <color indexed="8"/>
        <rFont val="Arial"/>
        <family val="2"/>
      </rPr>
      <t>OHO</t>
    </r>
  </si>
  <si>
    <r>
      <t>Anoxic growth of X</t>
    </r>
    <r>
      <rPr>
        <b/>
        <vertAlign val="subscript"/>
        <sz val="12"/>
        <color indexed="8"/>
        <rFont val="Arial"/>
        <family val="2"/>
      </rPr>
      <t>OHO</t>
    </r>
    <r>
      <rPr>
        <b/>
        <sz val="12"/>
        <color indexed="8"/>
        <rFont val="Arial"/>
        <family val="2"/>
      </rPr>
      <t xml:space="preserve"> on S</t>
    </r>
    <r>
      <rPr>
        <b/>
        <vertAlign val="subscript"/>
        <sz val="12"/>
        <color indexed="8"/>
        <rFont val="Arial"/>
        <family val="2"/>
      </rPr>
      <t>Ac</t>
    </r>
  </si>
  <si>
    <r>
      <t>v</t>
    </r>
    <r>
      <rPr>
        <vertAlign val="subscript"/>
        <sz val="12"/>
        <color indexed="8"/>
        <rFont val="Arial"/>
        <family val="2"/>
      </rPr>
      <t>7_SNHx</t>
    </r>
    <r>
      <rPr>
        <sz val="12"/>
        <color indexed="8"/>
        <rFont val="Arial"/>
        <family val="2"/>
      </rPr>
      <t>*</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7_SPO4</t>
    </r>
    <r>
      <rPr>
        <sz val="12"/>
        <color indexed="8"/>
        <rFont val="Arial"/>
        <family val="2"/>
      </rPr>
      <t>*</t>
    </r>
    <r>
      <rPr>
        <i/>
        <sz val="12"/>
        <color indexed="8"/>
        <rFont val="Arial"/>
        <family val="2"/>
      </rPr>
      <t>i</t>
    </r>
    <r>
      <rPr>
        <vertAlign val="subscript"/>
        <sz val="12"/>
        <color indexed="8"/>
        <rFont val="Arial"/>
        <family val="2"/>
      </rPr>
      <t>Charge_PO4</t>
    </r>
    <r>
      <rPr>
        <sz val="12"/>
        <color indexed="8"/>
        <rFont val="Arial"/>
        <family val="2"/>
      </rPr>
      <t>+</t>
    </r>
    <r>
      <rPr>
        <i/>
        <sz val="12"/>
        <color indexed="8"/>
        <rFont val="Arial"/>
        <family val="2"/>
      </rPr>
      <t>v</t>
    </r>
    <r>
      <rPr>
        <vertAlign val="subscript"/>
        <sz val="12"/>
        <color indexed="8"/>
        <rFont val="Arial"/>
        <family val="2"/>
      </rPr>
      <t>7_SNOx</t>
    </r>
    <r>
      <rPr>
        <sz val="12"/>
        <color indexed="8"/>
        <rFont val="Arial"/>
        <family val="2"/>
      </rPr>
      <t>*</t>
    </r>
    <r>
      <rPr>
        <i/>
        <sz val="12"/>
        <color indexed="8"/>
        <rFont val="Arial"/>
        <family val="2"/>
      </rPr>
      <t>i</t>
    </r>
    <r>
      <rPr>
        <vertAlign val="subscript"/>
        <sz val="12"/>
        <color indexed="8"/>
        <rFont val="Arial"/>
        <family val="2"/>
      </rPr>
      <t>Charge_NOx</t>
    </r>
    <r>
      <rPr>
        <sz val="12"/>
        <color indexed="8"/>
        <rFont val="Arial"/>
        <family val="2"/>
      </rPr>
      <t>+</t>
    </r>
    <r>
      <rPr>
        <i/>
        <sz val="12"/>
        <color indexed="8"/>
        <rFont val="Arial"/>
        <family val="2"/>
      </rPr>
      <t>v</t>
    </r>
    <r>
      <rPr>
        <vertAlign val="subscript"/>
        <sz val="12"/>
        <color indexed="8"/>
        <rFont val="Arial"/>
        <family val="2"/>
      </rPr>
      <t>7_SAc</t>
    </r>
    <r>
      <rPr>
        <sz val="12"/>
        <color indexed="8"/>
        <rFont val="Arial"/>
        <family val="2"/>
      </rPr>
      <t>*</t>
    </r>
    <r>
      <rPr>
        <i/>
        <sz val="12"/>
        <color indexed="8"/>
        <rFont val="Arial"/>
        <family val="2"/>
      </rPr>
      <t>i</t>
    </r>
    <r>
      <rPr>
        <vertAlign val="subscript"/>
        <sz val="12"/>
        <color indexed="8"/>
        <rFont val="Arial"/>
        <family val="2"/>
      </rPr>
      <t>Charge_Ac</t>
    </r>
  </si>
  <si>
    <r>
      <t>μ</t>
    </r>
    <r>
      <rPr>
        <vertAlign val="subscript"/>
        <sz val="12"/>
        <color indexed="8"/>
        <rFont val="Arial"/>
        <family val="2"/>
      </rPr>
      <t>OHO,Max</t>
    </r>
    <r>
      <rPr>
        <sz val="12"/>
        <color indexed="8"/>
        <rFont val="Arial"/>
        <family val="2"/>
      </rPr>
      <t>*</t>
    </r>
    <r>
      <rPr>
        <i/>
        <sz val="12"/>
        <color indexed="8"/>
        <rFont val="Arial"/>
        <family val="2"/>
      </rPr>
      <t>n</t>
    </r>
    <r>
      <rPr>
        <vertAlign val="subscript"/>
        <sz val="12"/>
        <color indexed="8"/>
        <rFont val="Arial"/>
        <family val="2"/>
      </rPr>
      <t>qOHO,Ax</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K</t>
    </r>
    <r>
      <rPr>
        <vertAlign val="subscript"/>
        <sz val="12"/>
        <color indexed="8"/>
        <rFont val="Arial"/>
        <family val="2"/>
      </rPr>
      <t>Ac,OHO</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PO4,OHO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K</t>
    </r>
    <r>
      <rPr>
        <vertAlign val="subscript"/>
        <sz val="12"/>
        <color indexed="8"/>
        <rFont val="Arial"/>
        <family val="2"/>
      </rPr>
      <t>Alk,OHO</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X</t>
    </r>
    <r>
      <rPr>
        <vertAlign val="subscript"/>
        <sz val="12"/>
        <color indexed="8"/>
        <rFont val="Arial"/>
        <family val="2"/>
      </rPr>
      <t>OHO</t>
    </r>
  </si>
  <si>
    <r>
      <t>v</t>
    </r>
    <r>
      <rPr>
        <vertAlign val="subscript"/>
        <sz val="12"/>
        <color indexed="8"/>
        <rFont val="Arial"/>
        <family val="2"/>
      </rPr>
      <t>8_SNHx</t>
    </r>
    <r>
      <rPr>
        <sz val="12"/>
        <color indexed="8"/>
        <rFont val="Arial"/>
        <family val="2"/>
      </rPr>
      <t>*</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8_SPO4</t>
    </r>
    <r>
      <rPr>
        <sz val="12"/>
        <color indexed="8"/>
        <rFont val="Arial"/>
        <family val="2"/>
      </rPr>
      <t>*</t>
    </r>
    <r>
      <rPr>
        <i/>
        <sz val="12"/>
        <color indexed="8"/>
        <rFont val="Arial"/>
        <family val="2"/>
      </rPr>
      <t>i</t>
    </r>
    <r>
      <rPr>
        <vertAlign val="subscript"/>
        <sz val="12"/>
        <color indexed="8"/>
        <rFont val="Arial"/>
        <family val="2"/>
      </rPr>
      <t>Charge_PO4</t>
    </r>
    <r>
      <rPr>
        <sz val="12"/>
        <color indexed="8"/>
        <rFont val="Arial"/>
        <family val="2"/>
      </rPr>
      <t>+</t>
    </r>
    <r>
      <rPr>
        <i/>
        <sz val="12"/>
        <color indexed="8"/>
        <rFont val="Arial"/>
        <family val="2"/>
      </rPr>
      <t>i</t>
    </r>
    <r>
      <rPr>
        <vertAlign val="subscript"/>
        <sz val="12"/>
        <color indexed="8"/>
        <rFont val="Arial"/>
        <family val="2"/>
      </rPr>
      <t>Charge_Ac</t>
    </r>
  </si>
  <si>
    <r>
      <t>i</t>
    </r>
    <r>
      <rPr>
        <vertAlign val="subscript"/>
        <sz val="12"/>
        <color indexed="8"/>
        <rFont val="Arial"/>
        <family val="2"/>
      </rPr>
      <t>N_XBio</t>
    </r>
    <r>
      <rPr>
        <sz val="12"/>
        <color indexed="8"/>
        <rFont val="Arial"/>
        <family val="2"/>
      </rPr>
      <t>-</t>
    </r>
    <r>
      <rPr>
        <i/>
        <sz val="12"/>
        <color indexed="8"/>
        <rFont val="Arial"/>
        <family val="2"/>
      </rPr>
      <t>i</t>
    </r>
    <r>
      <rPr>
        <vertAlign val="subscript"/>
        <sz val="12"/>
        <color indexed="8"/>
        <rFont val="Arial"/>
        <family val="2"/>
      </rPr>
      <t>N_XU</t>
    </r>
    <r>
      <rPr>
        <sz val="12"/>
        <color indexed="8"/>
        <rFont val="Arial"/>
        <family val="2"/>
      </rPr>
      <t>*</t>
    </r>
    <r>
      <rPr>
        <i/>
        <sz val="12"/>
        <color indexed="8"/>
        <rFont val="Arial"/>
        <family val="2"/>
      </rPr>
      <t>f</t>
    </r>
    <r>
      <rPr>
        <vertAlign val="subscript"/>
        <sz val="12"/>
        <color indexed="8"/>
        <rFont val="Arial"/>
        <family val="2"/>
      </rPr>
      <t>XU_OHO,lys</t>
    </r>
    <r>
      <rPr>
        <sz val="12"/>
        <color indexed="8"/>
        <rFont val="Arial"/>
        <family val="2"/>
      </rPr>
      <t>-</t>
    </r>
    <r>
      <rPr>
        <i/>
        <sz val="12"/>
        <color indexed="8"/>
        <rFont val="Arial"/>
        <family val="2"/>
      </rPr>
      <t>i</t>
    </r>
    <r>
      <rPr>
        <vertAlign val="subscript"/>
        <sz val="12"/>
        <color indexed="8"/>
        <rFont val="Arial"/>
        <family val="2"/>
      </rPr>
      <t>N_XCB</t>
    </r>
    <r>
      <rPr>
        <sz val="12"/>
        <color indexed="8"/>
        <rFont val="Arial"/>
        <family val="2"/>
      </rPr>
      <t>*(1-</t>
    </r>
    <r>
      <rPr>
        <i/>
        <sz val="12"/>
        <color indexed="8"/>
        <rFont val="Arial"/>
        <family val="2"/>
      </rPr>
      <t>f</t>
    </r>
    <r>
      <rPr>
        <vertAlign val="subscript"/>
        <sz val="12"/>
        <color indexed="8"/>
        <rFont val="Arial"/>
        <family val="2"/>
      </rPr>
      <t>XU_OHO,lys</t>
    </r>
    <r>
      <rPr>
        <sz val="12"/>
        <color indexed="8"/>
        <rFont val="Arial"/>
        <family val="2"/>
      </rPr>
      <t>)</t>
    </r>
  </si>
  <si>
    <r>
      <t>i</t>
    </r>
    <r>
      <rPr>
        <vertAlign val="subscript"/>
        <sz val="12"/>
        <color indexed="8"/>
        <rFont val="Arial"/>
        <family val="2"/>
      </rPr>
      <t>P_XBio</t>
    </r>
    <r>
      <rPr>
        <sz val="12"/>
        <color indexed="8"/>
        <rFont val="Arial"/>
        <family val="2"/>
      </rPr>
      <t>-</t>
    </r>
    <r>
      <rPr>
        <i/>
        <sz val="12"/>
        <color indexed="8"/>
        <rFont val="Arial"/>
        <family val="2"/>
      </rPr>
      <t>i</t>
    </r>
    <r>
      <rPr>
        <vertAlign val="subscript"/>
        <sz val="12"/>
        <color indexed="8"/>
        <rFont val="Arial"/>
        <family val="2"/>
      </rPr>
      <t>P_XU</t>
    </r>
    <r>
      <rPr>
        <sz val="12"/>
        <color indexed="8"/>
        <rFont val="Arial"/>
        <family val="2"/>
      </rPr>
      <t>*</t>
    </r>
    <r>
      <rPr>
        <i/>
        <sz val="12"/>
        <color indexed="8"/>
        <rFont val="Arial"/>
        <family val="2"/>
      </rPr>
      <t>f</t>
    </r>
    <r>
      <rPr>
        <vertAlign val="subscript"/>
        <sz val="12"/>
        <color indexed="8"/>
        <rFont val="Arial"/>
        <family val="2"/>
      </rPr>
      <t>XU_OHO,lys</t>
    </r>
    <r>
      <rPr>
        <sz val="12"/>
        <color indexed="8"/>
        <rFont val="Arial"/>
        <family val="2"/>
      </rPr>
      <t>-</t>
    </r>
    <r>
      <rPr>
        <i/>
        <sz val="12"/>
        <color indexed="8"/>
        <rFont val="Arial"/>
        <family val="2"/>
      </rPr>
      <t>i</t>
    </r>
    <r>
      <rPr>
        <vertAlign val="subscript"/>
        <sz val="12"/>
        <color indexed="8"/>
        <rFont val="Arial"/>
        <family val="2"/>
      </rPr>
      <t>P_XCB</t>
    </r>
    <r>
      <rPr>
        <sz val="12"/>
        <color indexed="8"/>
        <rFont val="Arial"/>
        <family val="2"/>
      </rPr>
      <t>*(1-</t>
    </r>
    <r>
      <rPr>
        <i/>
        <sz val="12"/>
        <color indexed="8"/>
        <rFont val="Arial"/>
        <family val="2"/>
      </rPr>
      <t>f</t>
    </r>
    <r>
      <rPr>
        <vertAlign val="subscript"/>
        <sz val="12"/>
        <color indexed="8"/>
        <rFont val="Arial"/>
        <family val="2"/>
      </rPr>
      <t>XU_OHO,lys</t>
    </r>
    <r>
      <rPr>
        <sz val="12"/>
        <color indexed="8"/>
        <rFont val="Arial"/>
        <family val="2"/>
      </rPr>
      <t>)</t>
    </r>
  </si>
  <si>
    <r>
      <t>v</t>
    </r>
    <r>
      <rPr>
        <vertAlign val="subscript"/>
        <sz val="12"/>
        <color indexed="8"/>
        <rFont val="Arial"/>
        <family val="2"/>
      </rPr>
      <t>9_SNHx</t>
    </r>
    <r>
      <rPr>
        <sz val="12"/>
        <color indexed="8"/>
        <rFont val="Arial"/>
        <family val="2"/>
      </rPr>
      <t>*</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9_SPO4</t>
    </r>
    <r>
      <rPr>
        <sz val="12"/>
        <color indexed="8"/>
        <rFont val="Arial"/>
        <family val="2"/>
      </rPr>
      <t>*</t>
    </r>
    <r>
      <rPr>
        <i/>
        <sz val="12"/>
        <color indexed="8"/>
        <rFont val="Arial"/>
        <family val="2"/>
      </rPr>
      <t>i</t>
    </r>
    <r>
      <rPr>
        <vertAlign val="subscript"/>
        <sz val="12"/>
        <color indexed="8"/>
        <rFont val="Arial"/>
        <family val="2"/>
      </rPr>
      <t>Charge_PO4</t>
    </r>
  </si>
  <si>
    <r>
      <t>1-</t>
    </r>
    <r>
      <rPr>
        <i/>
        <sz val="12"/>
        <color indexed="8"/>
        <rFont val="Arial"/>
        <family val="2"/>
      </rPr>
      <t>f</t>
    </r>
    <r>
      <rPr>
        <vertAlign val="subscript"/>
        <sz val="12"/>
        <color indexed="8"/>
        <rFont val="Arial"/>
        <family val="2"/>
      </rPr>
      <t>XU_OHO,lys</t>
    </r>
  </si>
  <si>
    <r>
      <t>i</t>
    </r>
    <r>
      <rPr>
        <vertAlign val="subscript"/>
        <sz val="12"/>
        <color indexed="8"/>
        <rFont val="Arial"/>
        <family val="2"/>
      </rPr>
      <t>TSS_XU</t>
    </r>
    <r>
      <rPr>
        <sz val="12"/>
        <color indexed="8"/>
        <rFont val="Arial"/>
        <family val="2"/>
      </rPr>
      <t>*</t>
    </r>
    <r>
      <rPr>
        <i/>
        <sz val="12"/>
        <color indexed="8"/>
        <rFont val="Arial"/>
        <family val="2"/>
      </rPr>
      <t>f</t>
    </r>
    <r>
      <rPr>
        <vertAlign val="subscript"/>
        <sz val="12"/>
        <color indexed="8"/>
        <rFont val="Arial"/>
        <family val="2"/>
      </rPr>
      <t>XU_OHO,lys</t>
    </r>
    <r>
      <rPr>
        <sz val="12"/>
        <color indexed="8"/>
        <rFont val="Arial"/>
        <family val="2"/>
      </rPr>
      <t>+</t>
    </r>
    <r>
      <rPr>
        <i/>
        <sz val="12"/>
        <color indexed="8"/>
        <rFont val="Arial"/>
        <family val="2"/>
      </rPr>
      <t>i</t>
    </r>
    <r>
      <rPr>
        <vertAlign val="subscript"/>
        <sz val="12"/>
        <color indexed="8"/>
        <rFont val="Arial"/>
        <family val="2"/>
      </rPr>
      <t>TSS_XCB</t>
    </r>
    <r>
      <rPr>
        <sz val="12"/>
        <color indexed="8"/>
        <rFont val="Arial"/>
        <family val="2"/>
      </rPr>
      <t>*(1-</t>
    </r>
    <r>
      <rPr>
        <i/>
        <sz val="12"/>
        <color indexed="8"/>
        <rFont val="Arial"/>
        <family val="2"/>
      </rPr>
      <t>f</t>
    </r>
    <r>
      <rPr>
        <vertAlign val="subscript"/>
        <sz val="12"/>
        <color indexed="8"/>
        <rFont val="Arial"/>
        <family val="2"/>
      </rPr>
      <t>XU_OHO,lys</t>
    </r>
    <r>
      <rPr>
        <sz val="12"/>
        <color indexed="8"/>
        <rFont val="Arial"/>
        <family val="2"/>
      </rPr>
      <t>)-</t>
    </r>
    <r>
      <rPr>
        <i/>
        <sz val="12"/>
        <color indexed="8"/>
        <rFont val="Arial"/>
        <family val="2"/>
      </rPr>
      <t>i</t>
    </r>
    <r>
      <rPr>
        <vertAlign val="subscript"/>
        <sz val="12"/>
        <color indexed="8"/>
        <rFont val="Arial"/>
        <family val="2"/>
      </rPr>
      <t>TSS_XBio</t>
    </r>
  </si>
  <si>
    <r>
      <t>m</t>
    </r>
    <r>
      <rPr>
        <vertAlign val="subscript"/>
        <sz val="12"/>
        <color indexed="8"/>
        <rFont val="Arial"/>
        <family val="2"/>
      </rPr>
      <t>OHO</t>
    </r>
    <r>
      <rPr>
        <sz val="12"/>
        <color indexed="8"/>
        <rFont val="Arial"/>
        <family val="2"/>
      </rPr>
      <t>*</t>
    </r>
    <r>
      <rPr>
        <i/>
        <sz val="12"/>
        <color indexed="8"/>
        <rFont val="Arial"/>
        <family val="2"/>
      </rPr>
      <t>X</t>
    </r>
    <r>
      <rPr>
        <vertAlign val="subscript"/>
        <sz val="12"/>
        <color indexed="8"/>
        <rFont val="Arial"/>
        <family val="2"/>
      </rPr>
      <t>OHO</t>
    </r>
  </si>
  <si>
    <r>
      <t>Anaerobic Storage of S</t>
    </r>
    <r>
      <rPr>
        <b/>
        <vertAlign val="subscript"/>
        <sz val="12"/>
        <color indexed="8"/>
        <rFont val="Arial"/>
        <family val="2"/>
      </rPr>
      <t>Ac</t>
    </r>
  </si>
  <si>
    <r>
      <t>v</t>
    </r>
    <r>
      <rPr>
        <vertAlign val="subscript"/>
        <sz val="12"/>
        <color indexed="8"/>
        <rFont val="Arial"/>
        <family val="2"/>
      </rPr>
      <t>10_SPO4</t>
    </r>
    <r>
      <rPr>
        <sz val="12"/>
        <color indexed="8"/>
        <rFont val="Arial"/>
        <family val="2"/>
      </rPr>
      <t>*</t>
    </r>
    <r>
      <rPr>
        <i/>
        <sz val="12"/>
        <color indexed="8"/>
        <rFont val="Arial"/>
        <family val="2"/>
      </rPr>
      <t>i</t>
    </r>
    <r>
      <rPr>
        <vertAlign val="subscript"/>
        <sz val="12"/>
        <color indexed="8"/>
        <rFont val="Arial"/>
        <family val="2"/>
      </rPr>
      <t>Charge_PO4</t>
    </r>
    <r>
      <rPr>
        <sz val="12"/>
        <color indexed="8"/>
        <rFont val="Arial"/>
        <family val="2"/>
      </rPr>
      <t>-</t>
    </r>
    <r>
      <rPr>
        <i/>
        <sz val="12"/>
        <color indexed="8"/>
        <rFont val="Arial"/>
        <family val="2"/>
      </rPr>
      <t>i</t>
    </r>
    <r>
      <rPr>
        <vertAlign val="subscript"/>
        <sz val="12"/>
        <color indexed="8"/>
        <rFont val="Arial"/>
        <family val="2"/>
      </rPr>
      <t>Charge_Ac</t>
    </r>
    <r>
      <rPr>
        <sz val="12"/>
        <color indexed="8"/>
        <rFont val="Arial"/>
        <family val="2"/>
      </rPr>
      <t>+</t>
    </r>
    <r>
      <rPr>
        <i/>
        <sz val="12"/>
        <color indexed="8"/>
        <rFont val="Arial"/>
        <family val="2"/>
      </rPr>
      <t>v</t>
    </r>
    <r>
      <rPr>
        <vertAlign val="subscript"/>
        <sz val="12"/>
        <color indexed="8"/>
        <rFont val="Arial"/>
        <family val="2"/>
      </rPr>
      <t>10_XPAO,PP</t>
    </r>
    <r>
      <rPr>
        <sz val="12"/>
        <color indexed="8"/>
        <rFont val="Arial"/>
        <family val="2"/>
      </rPr>
      <t>*</t>
    </r>
    <r>
      <rPr>
        <i/>
        <sz val="12"/>
        <color indexed="8"/>
        <rFont val="Arial"/>
        <family val="2"/>
      </rPr>
      <t>i</t>
    </r>
    <r>
      <rPr>
        <vertAlign val="subscript"/>
        <sz val="12"/>
        <color indexed="8"/>
        <rFont val="Arial"/>
        <family val="2"/>
      </rPr>
      <t>Charge_XPAO,PP</t>
    </r>
  </si>
  <si>
    <r>
      <t>-</t>
    </r>
    <r>
      <rPr>
        <i/>
        <sz val="12"/>
        <color indexed="8"/>
        <rFont val="Arial"/>
        <family val="2"/>
      </rPr>
      <t>Y</t>
    </r>
    <r>
      <rPr>
        <vertAlign val="subscript"/>
        <sz val="12"/>
        <color indexed="8"/>
        <rFont val="Arial"/>
        <family val="2"/>
      </rPr>
      <t>PP_PHA,PAO,Ax</t>
    </r>
  </si>
  <si>
    <r>
      <t>1-</t>
    </r>
    <r>
      <rPr>
        <i/>
        <sz val="12"/>
        <color indexed="8"/>
        <rFont val="Arial"/>
        <family val="2"/>
      </rPr>
      <t>Y</t>
    </r>
    <r>
      <rPr>
        <vertAlign val="subscript"/>
        <sz val="12"/>
        <color indexed="8"/>
        <rFont val="Arial"/>
        <family val="2"/>
      </rPr>
      <t>Ac_PHA,PAO,Ax</t>
    </r>
  </si>
  <si>
    <r>
      <t>i</t>
    </r>
    <r>
      <rPr>
        <vertAlign val="subscript"/>
        <sz val="12"/>
        <color indexed="8"/>
        <rFont val="Arial"/>
        <family val="2"/>
      </rPr>
      <t>TSS_XPAO,PP</t>
    </r>
    <r>
      <rPr>
        <sz val="12"/>
        <color indexed="8"/>
        <rFont val="Arial"/>
        <family val="2"/>
      </rPr>
      <t>*(-</t>
    </r>
    <r>
      <rPr>
        <i/>
        <sz val="12"/>
        <color indexed="8"/>
        <rFont val="Arial"/>
        <family val="2"/>
      </rPr>
      <t>Y</t>
    </r>
    <r>
      <rPr>
        <vertAlign val="subscript"/>
        <sz val="12"/>
        <color indexed="8"/>
        <rFont val="Arial"/>
        <family val="2"/>
      </rPr>
      <t>PP_PHA,PAO,Ax</t>
    </r>
    <r>
      <rPr>
        <sz val="12"/>
        <color indexed="8"/>
        <rFont val="Arial"/>
        <family val="2"/>
      </rPr>
      <t>)+</t>
    </r>
    <r>
      <rPr>
        <i/>
        <sz val="12"/>
        <color indexed="8"/>
        <rFont val="Arial"/>
        <family val="2"/>
      </rPr>
      <t>i</t>
    </r>
    <r>
      <rPr>
        <vertAlign val="subscript"/>
        <sz val="12"/>
        <color indexed="8"/>
        <rFont val="Arial"/>
        <family val="2"/>
      </rPr>
      <t>TSS_XPAO,PHA</t>
    </r>
    <r>
      <rPr>
        <sz val="12"/>
        <color indexed="8"/>
        <rFont val="Arial"/>
        <family val="2"/>
      </rPr>
      <t>*</t>
    </r>
    <r>
      <rPr>
        <i/>
        <sz val="12"/>
        <color indexed="8"/>
        <rFont val="Arial"/>
        <family val="2"/>
      </rPr>
      <t>Y</t>
    </r>
    <r>
      <rPr>
        <vertAlign val="subscript"/>
        <sz val="12"/>
        <color indexed="8"/>
        <rFont val="Arial"/>
        <family val="2"/>
      </rPr>
      <t>Ac_PHA,PAO,Ax</t>
    </r>
    <r>
      <rPr>
        <sz val="12"/>
        <color indexed="8"/>
        <rFont val="Arial"/>
        <family val="2"/>
      </rPr>
      <t>+</t>
    </r>
    <r>
      <rPr>
        <i/>
        <sz val="12"/>
        <color indexed="8"/>
        <rFont val="Arial"/>
        <family val="2"/>
      </rPr>
      <t>i</t>
    </r>
    <r>
      <rPr>
        <vertAlign val="subscript"/>
        <sz val="12"/>
        <color indexed="8"/>
        <rFont val="Arial"/>
        <family val="2"/>
      </rPr>
      <t>TSS_XPAO,Gly</t>
    </r>
    <r>
      <rPr>
        <sz val="12"/>
        <color indexed="8"/>
        <rFont val="Arial"/>
        <family val="2"/>
      </rPr>
      <t>*(1-</t>
    </r>
    <r>
      <rPr>
        <i/>
        <sz val="12"/>
        <color indexed="8"/>
        <rFont val="Arial"/>
        <family val="2"/>
      </rPr>
      <t>Y</t>
    </r>
    <r>
      <rPr>
        <vertAlign val="subscript"/>
        <sz val="12"/>
        <color indexed="8"/>
        <rFont val="Arial"/>
        <family val="2"/>
      </rPr>
      <t>Ac_PHA,PAO,Ax</t>
    </r>
    <r>
      <rPr>
        <sz val="12"/>
        <color indexed="8"/>
        <rFont val="Arial"/>
        <family val="2"/>
      </rPr>
      <t>)</t>
    </r>
  </si>
  <si>
    <r>
      <t>q</t>
    </r>
    <r>
      <rPr>
        <vertAlign val="subscript"/>
        <sz val="12"/>
        <color indexed="8"/>
        <rFont val="Arial"/>
        <family val="2"/>
      </rPr>
      <t>PAO,Ac_PHA,An</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K</t>
    </r>
    <r>
      <rPr>
        <vertAlign val="subscript"/>
        <sz val="12"/>
        <color indexed="8"/>
        <rFont val="Arial"/>
        <family val="2"/>
      </rPr>
      <t>Ac,PAO</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PAO,Gly</t>
    </r>
    <r>
      <rPr>
        <sz val="12"/>
        <color indexed="8"/>
        <rFont val="Arial"/>
        <family val="2"/>
      </rPr>
      <t>/(</t>
    </r>
    <r>
      <rPr>
        <i/>
        <sz val="12"/>
        <color indexed="8"/>
        <rFont val="Arial"/>
        <family val="2"/>
      </rPr>
      <t>K</t>
    </r>
    <r>
      <rPr>
        <vertAlign val="subscript"/>
        <sz val="12"/>
        <color indexed="8"/>
        <rFont val="Arial"/>
        <family val="2"/>
      </rPr>
      <t>Gly,PAO</t>
    </r>
    <r>
      <rPr>
        <sz val="12"/>
        <color indexed="8"/>
        <rFont val="Arial"/>
        <family val="2"/>
      </rPr>
      <t>+</t>
    </r>
    <r>
      <rPr>
        <i/>
        <sz val="12"/>
        <color indexed="8"/>
        <rFont val="Arial"/>
        <family val="2"/>
      </rPr>
      <t>X</t>
    </r>
    <r>
      <rPr>
        <vertAlign val="subscript"/>
        <sz val="12"/>
        <color indexed="8"/>
        <rFont val="Arial"/>
        <family val="2"/>
      </rPr>
      <t>PAO,Gly</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K</t>
    </r>
    <r>
      <rPr>
        <vertAlign val="subscript"/>
        <sz val="12"/>
        <color indexed="8"/>
        <rFont val="Arial"/>
        <family val="2"/>
      </rPr>
      <t>PP,PAO</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X</t>
    </r>
    <r>
      <rPr>
        <vertAlign val="subscript"/>
        <sz val="12"/>
        <color indexed="8"/>
        <rFont val="Arial"/>
        <family val="2"/>
      </rPr>
      <t>PAO</t>
    </r>
  </si>
  <si>
    <r>
      <t>m</t>
    </r>
    <r>
      <rPr>
        <vertAlign val="subscript"/>
        <sz val="12"/>
        <color indexed="8"/>
        <rFont val="Arial"/>
        <family val="2"/>
      </rPr>
      <t>PAO,An</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K</t>
    </r>
    <r>
      <rPr>
        <vertAlign val="subscript"/>
        <sz val="12"/>
        <color indexed="8"/>
        <rFont val="Arial"/>
        <family val="2"/>
      </rPr>
      <t>PP,PAO</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X</t>
    </r>
    <r>
      <rPr>
        <vertAlign val="subscript"/>
        <sz val="12"/>
        <color indexed="8"/>
        <rFont val="Arial"/>
        <family val="2"/>
      </rPr>
      <t>PAO</t>
    </r>
  </si>
  <si>
    <r>
      <t>Anoxic storage of S</t>
    </r>
    <r>
      <rPr>
        <b/>
        <vertAlign val="subscript"/>
        <sz val="12"/>
        <color indexed="8"/>
        <rFont val="Arial"/>
        <family val="2"/>
      </rPr>
      <t>Ac</t>
    </r>
  </si>
  <si>
    <r>
      <t>-(1-</t>
    </r>
    <r>
      <rPr>
        <i/>
        <sz val="12"/>
        <color indexed="8"/>
        <rFont val="Arial"/>
        <family val="2"/>
      </rPr>
      <t>Y</t>
    </r>
    <r>
      <rPr>
        <vertAlign val="subscript"/>
        <sz val="12"/>
        <color indexed="8"/>
        <rFont val="Arial"/>
        <family val="2"/>
      </rPr>
      <t>Ac_PHA,PAO,An</t>
    </r>
    <r>
      <rPr>
        <sz val="12"/>
        <color indexed="8"/>
        <rFont val="Arial"/>
        <family val="2"/>
      </rPr>
      <t>)/</t>
    </r>
    <r>
      <rPr>
        <i/>
        <sz val="12"/>
        <color indexed="8"/>
        <rFont val="Arial"/>
        <family val="2"/>
      </rPr>
      <t>i</t>
    </r>
    <r>
      <rPr>
        <vertAlign val="subscript"/>
        <sz val="12"/>
        <color indexed="8"/>
        <rFont val="Arial"/>
        <family val="2"/>
      </rPr>
      <t>NOx,N2</t>
    </r>
  </si>
  <si>
    <r>
      <t>(1-</t>
    </r>
    <r>
      <rPr>
        <i/>
        <sz val="12"/>
        <color indexed="8"/>
        <rFont val="Arial"/>
        <family val="2"/>
      </rPr>
      <t>Y</t>
    </r>
    <r>
      <rPr>
        <vertAlign val="subscript"/>
        <sz val="12"/>
        <color indexed="8"/>
        <rFont val="Arial"/>
        <family val="2"/>
      </rPr>
      <t>Ac_PHA,PAO,An</t>
    </r>
    <r>
      <rPr>
        <sz val="12"/>
        <color indexed="8"/>
        <rFont val="Arial"/>
        <family val="2"/>
      </rPr>
      <t>)/</t>
    </r>
    <r>
      <rPr>
        <i/>
        <sz val="12"/>
        <color indexed="8"/>
        <rFont val="Arial"/>
        <family val="2"/>
      </rPr>
      <t>i</t>
    </r>
    <r>
      <rPr>
        <vertAlign val="subscript"/>
        <sz val="12"/>
        <color indexed="8"/>
        <rFont val="Arial"/>
        <family val="2"/>
      </rPr>
      <t>NOx,N2</t>
    </r>
  </si>
  <si>
    <r>
      <t>v</t>
    </r>
    <r>
      <rPr>
        <vertAlign val="subscript"/>
        <sz val="12"/>
        <color indexed="8"/>
        <rFont val="Arial"/>
        <family val="2"/>
      </rPr>
      <t>12_SPO4</t>
    </r>
    <r>
      <rPr>
        <sz val="12"/>
        <color indexed="8"/>
        <rFont val="Arial"/>
        <family val="2"/>
      </rPr>
      <t>*</t>
    </r>
    <r>
      <rPr>
        <i/>
        <sz val="12"/>
        <color indexed="8"/>
        <rFont val="Arial"/>
        <family val="2"/>
      </rPr>
      <t>i</t>
    </r>
    <r>
      <rPr>
        <vertAlign val="subscript"/>
        <sz val="12"/>
        <color indexed="8"/>
        <rFont val="Arial"/>
        <family val="2"/>
      </rPr>
      <t>Charge_PO4</t>
    </r>
    <r>
      <rPr>
        <sz val="12"/>
        <color indexed="8"/>
        <rFont val="Arial"/>
        <family val="2"/>
      </rPr>
      <t>-</t>
    </r>
    <r>
      <rPr>
        <i/>
        <sz val="12"/>
        <color indexed="8"/>
        <rFont val="Arial"/>
        <family val="2"/>
      </rPr>
      <t>i</t>
    </r>
    <r>
      <rPr>
        <vertAlign val="subscript"/>
        <sz val="12"/>
        <color indexed="8"/>
        <rFont val="Arial"/>
        <family val="2"/>
      </rPr>
      <t>Charge_Ac</t>
    </r>
    <r>
      <rPr>
        <sz val="12"/>
        <color indexed="8"/>
        <rFont val="Arial"/>
        <family val="2"/>
      </rPr>
      <t>+</t>
    </r>
    <r>
      <rPr>
        <i/>
        <sz val="12"/>
        <color indexed="8"/>
        <rFont val="Arial"/>
        <family val="2"/>
      </rPr>
      <t>v</t>
    </r>
    <r>
      <rPr>
        <vertAlign val="subscript"/>
        <sz val="12"/>
        <color indexed="8"/>
        <rFont val="Arial"/>
        <family val="2"/>
      </rPr>
      <t>12_XPAO,PP</t>
    </r>
    <r>
      <rPr>
        <sz val="12"/>
        <color indexed="8"/>
        <rFont val="Arial"/>
        <family val="2"/>
      </rPr>
      <t>*</t>
    </r>
    <r>
      <rPr>
        <i/>
        <sz val="12"/>
        <color indexed="8"/>
        <rFont val="Arial"/>
        <family val="2"/>
      </rPr>
      <t>i</t>
    </r>
    <r>
      <rPr>
        <vertAlign val="subscript"/>
        <sz val="12"/>
        <color indexed="8"/>
        <rFont val="Arial"/>
        <family val="2"/>
      </rPr>
      <t>Charge_XPAO,PP</t>
    </r>
    <r>
      <rPr>
        <sz val="12"/>
        <color indexed="8"/>
        <rFont val="Arial"/>
        <family val="2"/>
      </rPr>
      <t>+</t>
    </r>
    <r>
      <rPr>
        <i/>
        <sz val="12"/>
        <color indexed="8"/>
        <rFont val="Arial"/>
        <family val="2"/>
      </rPr>
      <t>v</t>
    </r>
    <r>
      <rPr>
        <vertAlign val="subscript"/>
        <sz val="12"/>
        <color indexed="8"/>
        <rFont val="Arial"/>
        <family val="2"/>
      </rPr>
      <t>12_SNOx</t>
    </r>
    <r>
      <rPr>
        <sz val="12"/>
        <color indexed="8"/>
        <rFont val="Arial"/>
        <family val="2"/>
      </rPr>
      <t>*</t>
    </r>
    <r>
      <rPr>
        <i/>
        <sz val="12"/>
        <color indexed="8"/>
        <rFont val="Arial"/>
        <family val="2"/>
      </rPr>
      <t>i</t>
    </r>
    <r>
      <rPr>
        <vertAlign val="subscript"/>
        <sz val="12"/>
        <color indexed="8"/>
        <rFont val="Arial"/>
        <family val="2"/>
      </rPr>
      <t>Charge_NOx</t>
    </r>
  </si>
  <si>
    <r>
      <t>-</t>
    </r>
    <r>
      <rPr>
        <i/>
        <sz val="12"/>
        <color indexed="8"/>
        <rFont val="Arial"/>
        <family val="2"/>
      </rPr>
      <t>Y</t>
    </r>
    <r>
      <rPr>
        <vertAlign val="subscript"/>
        <sz val="12"/>
        <color indexed="8"/>
        <rFont val="Arial"/>
        <family val="2"/>
      </rPr>
      <t>PP_PHA,PAO,An</t>
    </r>
  </si>
  <si>
    <r>
      <t>i</t>
    </r>
    <r>
      <rPr>
        <vertAlign val="subscript"/>
        <sz val="12"/>
        <color indexed="8"/>
        <rFont val="Arial"/>
        <family val="2"/>
      </rPr>
      <t>TSS_XPAO,PP</t>
    </r>
    <r>
      <rPr>
        <sz val="12"/>
        <color indexed="8"/>
        <rFont val="Arial"/>
        <family val="2"/>
      </rPr>
      <t>*(-</t>
    </r>
    <r>
      <rPr>
        <i/>
        <sz val="12"/>
        <color indexed="8"/>
        <rFont val="Arial"/>
        <family val="2"/>
      </rPr>
      <t>Y</t>
    </r>
    <r>
      <rPr>
        <vertAlign val="subscript"/>
        <sz val="12"/>
        <color indexed="8"/>
        <rFont val="Arial"/>
        <family val="2"/>
      </rPr>
      <t>PP_PHA,PAO,An</t>
    </r>
    <r>
      <rPr>
        <sz val="12"/>
        <color indexed="8"/>
        <rFont val="Arial"/>
        <family val="2"/>
      </rPr>
      <t>)+</t>
    </r>
    <r>
      <rPr>
        <i/>
        <sz val="12"/>
        <color indexed="8"/>
        <rFont val="Arial"/>
        <family val="2"/>
      </rPr>
      <t>i</t>
    </r>
    <r>
      <rPr>
        <vertAlign val="subscript"/>
        <sz val="12"/>
        <color indexed="8"/>
        <rFont val="Arial"/>
        <family val="2"/>
      </rPr>
      <t>TSS_XPAO,PHA</t>
    </r>
    <r>
      <rPr>
        <sz val="12"/>
        <color indexed="8"/>
        <rFont val="Arial"/>
        <family val="2"/>
      </rPr>
      <t>*</t>
    </r>
    <r>
      <rPr>
        <i/>
        <sz val="12"/>
        <color indexed="8"/>
        <rFont val="Arial"/>
        <family val="2"/>
      </rPr>
      <t>Y</t>
    </r>
    <r>
      <rPr>
        <vertAlign val="subscript"/>
        <sz val="12"/>
        <color indexed="8"/>
        <rFont val="Arial"/>
        <family val="2"/>
      </rPr>
      <t>Ac_PHA,PAO,An</t>
    </r>
  </si>
  <si>
    <r>
      <t>q</t>
    </r>
    <r>
      <rPr>
        <vertAlign val="subscript"/>
        <sz val="12"/>
        <color indexed="8"/>
        <rFont val="Arial"/>
        <family val="2"/>
      </rPr>
      <t>PAO,Ac_PHA,Ax</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K</t>
    </r>
    <r>
      <rPr>
        <vertAlign val="subscript"/>
        <sz val="12"/>
        <color indexed="8"/>
        <rFont val="Arial"/>
        <family val="2"/>
      </rPr>
      <t>Ac,PAO</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K</t>
    </r>
    <r>
      <rPr>
        <vertAlign val="subscript"/>
        <sz val="12"/>
        <color indexed="8"/>
        <rFont val="Arial"/>
        <family val="2"/>
      </rPr>
      <t>PP,PAO</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X</t>
    </r>
    <r>
      <rPr>
        <vertAlign val="subscript"/>
        <sz val="12"/>
        <color indexed="8"/>
        <rFont val="Arial"/>
        <family val="2"/>
      </rPr>
      <t>PAO</t>
    </r>
  </si>
  <si>
    <r>
      <t>Anoxic X</t>
    </r>
    <r>
      <rPr>
        <b/>
        <vertAlign val="subscript"/>
        <sz val="12"/>
        <color indexed="8"/>
        <rFont val="Arial"/>
        <family val="2"/>
      </rPr>
      <t xml:space="preserve">PAO,PHA </t>
    </r>
    <r>
      <rPr>
        <b/>
        <sz val="12"/>
        <color indexed="8"/>
        <rFont val="Arial"/>
        <family val="2"/>
      </rPr>
      <t>consumption</t>
    </r>
  </si>
  <si>
    <r>
      <t>-</t>
    </r>
    <r>
      <rPr>
        <i/>
        <sz val="12"/>
        <color indexed="8"/>
        <rFont val="Arial"/>
        <family val="2"/>
      </rPr>
      <t>i</t>
    </r>
    <r>
      <rPr>
        <vertAlign val="subscript"/>
        <sz val="12"/>
        <color indexed="8"/>
        <rFont val="Arial"/>
        <family val="2"/>
      </rPr>
      <t>N_XBio</t>
    </r>
    <r>
      <rPr>
        <sz val="12"/>
        <color indexed="8"/>
        <rFont val="Arial"/>
        <family val="2"/>
      </rPr>
      <t>/</t>
    </r>
    <r>
      <rPr>
        <i/>
        <sz val="12"/>
        <color indexed="8"/>
        <rFont val="Arial"/>
        <family val="2"/>
      </rPr>
      <t>Y</t>
    </r>
    <r>
      <rPr>
        <vertAlign val="subscript"/>
        <sz val="12"/>
        <color indexed="8"/>
        <rFont val="Arial"/>
        <family val="2"/>
      </rPr>
      <t>PHA_PAO,Ax</t>
    </r>
  </si>
  <si>
    <r>
      <t>-(1-1/</t>
    </r>
    <r>
      <rPr>
        <i/>
        <sz val="12"/>
        <color indexed="8"/>
        <rFont val="Arial"/>
        <family val="2"/>
      </rPr>
      <t>Y</t>
    </r>
    <r>
      <rPr>
        <vertAlign val="subscript"/>
        <sz val="12"/>
        <color indexed="8"/>
        <rFont val="Arial"/>
        <family val="2"/>
      </rPr>
      <t>PHA_PAO,Ax</t>
    </r>
    <r>
      <rPr>
        <sz val="12"/>
        <color indexed="8"/>
        <rFont val="Arial"/>
        <family val="2"/>
      </rPr>
      <t>)/</t>
    </r>
    <r>
      <rPr>
        <i/>
        <sz val="12"/>
        <color indexed="8"/>
        <rFont val="Arial"/>
        <family val="2"/>
      </rPr>
      <t>i</t>
    </r>
    <r>
      <rPr>
        <vertAlign val="subscript"/>
        <sz val="12"/>
        <color indexed="8"/>
        <rFont val="Arial"/>
        <family val="2"/>
      </rPr>
      <t>NOx,N2</t>
    </r>
  </si>
  <si>
    <r>
      <t>(1-1/</t>
    </r>
    <r>
      <rPr>
        <i/>
        <sz val="12"/>
        <color indexed="8"/>
        <rFont val="Arial"/>
        <family val="2"/>
      </rPr>
      <t>Y</t>
    </r>
    <r>
      <rPr>
        <vertAlign val="subscript"/>
        <sz val="12"/>
        <color indexed="8"/>
        <rFont val="Arial"/>
        <family val="2"/>
      </rPr>
      <t>PHA_PAO,Ax</t>
    </r>
    <r>
      <rPr>
        <sz val="12"/>
        <color indexed="8"/>
        <rFont val="Arial"/>
        <family val="2"/>
      </rPr>
      <t>)/</t>
    </r>
    <r>
      <rPr>
        <i/>
        <sz val="12"/>
        <color indexed="8"/>
        <rFont val="Arial"/>
        <family val="2"/>
      </rPr>
      <t>i</t>
    </r>
    <r>
      <rPr>
        <vertAlign val="subscript"/>
        <sz val="12"/>
        <color indexed="8"/>
        <rFont val="Arial"/>
        <family val="2"/>
      </rPr>
      <t>NOx,N2</t>
    </r>
  </si>
  <si>
    <r>
      <t>-</t>
    </r>
    <r>
      <rPr>
        <i/>
        <sz val="12"/>
        <color indexed="8"/>
        <rFont val="Arial"/>
        <family val="2"/>
      </rPr>
      <t>i</t>
    </r>
    <r>
      <rPr>
        <vertAlign val="subscript"/>
        <sz val="12"/>
        <color indexed="8"/>
        <rFont val="Arial"/>
        <family val="2"/>
      </rPr>
      <t>P_XBio</t>
    </r>
    <r>
      <rPr>
        <sz val="12"/>
        <color indexed="8"/>
        <rFont val="Arial"/>
        <family val="2"/>
      </rPr>
      <t>/</t>
    </r>
    <r>
      <rPr>
        <i/>
        <sz val="12"/>
        <color indexed="8"/>
        <rFont val="Arial"/>
        <family val="2"/>
      </rPr>
      <t>Y</t>
    </r>
    <r>
      <rPr>
        <vertAlign val="subscript"/>
        <sz val="12"/>
        <color indexed="8"/>
        <rFont val="Arial"/>
        <family val="2"/>
      </rPr>
      <t>PHA_PAO,Ax</t>
    </r>
  </si>
  <si>
    <r>
      <t>v</t>
    </r>
    <r>
      <rPr>
        <vertAlign val="subscript"/>
        <sz val="12"/>
        <color indexed="8"/>
        <rFont val="Arial"/>
        <family val="2"/>
      </rPr>
      <t>13_SNHx</t>
    </r>
    <r>
      <rPr>
        <sz val="12"/>
        <color indexed="8"/>
        <rFont val="Arial"/>
        <family val="2"/>
      </rPr>
      <t>*</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13_SPO4</t>
    </r>
    <r>
      <rPr>
        <sz val="12"/>
        <color indexed="8"/>
        <rFont val="Arial"/>
        <family val="2"/>
      </rPr>
      <t>*</t>
    </r>
    <r>
      <rPr>
        <i/>
        <sz val="12"/>
        <color indexed="8"/>
        <rFont val="Arial"/>
        <family val="2"/>
      </rPr>
      <t>i</t>
    </r>
    <r>
      <rPr>
        <vertAlign val="subscript"/>
        <sz val="12"/>
        <color indexed="8"/>
        <rFont val="Arial"/>
        <family val="2"/>
      </rPr>
      <t>Charge_PO4</t>
    </r>
    <r>
      <rPr>
        <sz val="12"/>
        <color indexed="8"/>
        <rFont val="Arial"/>
        <family val="2"/>
      </rPr>
      <t>+</t>
    </r>
    <r>
      <rPr>
        <i/>
        <sz val="12"/>
        <color indexed="8"/>
        <rFont val="Arial"/>
        <family val="2"/>
      </rPr>
      <t>v</t>
    </r>
    <r>
      <rPr>
        <vertAlign val="subscript"/>
        <sz val="12"/>
        <color indexed="8"/>
        <rFont val="Arial"/>
        <family val="2"/>
      </rPr>
      <t>13_SNOx</t>
    </r>
    <r>
      <rPr>
        <sz val="12"/>
        <color indexed="8"/>
        <rFont val="Arial"/>
        <family val="2"/>
      </rPr>
      <t>*</t>
    </r>
    <r>
      <rPr>
        <i/>
        <sz val="12"/>
        <color indexed="8"/>
        <rFont val="Arial"/>
        <family val="2"/>
      </rPr>
      <t>i</t>
    </r>
    <r>
      <rPr>
        <vertAlign val="subscript"/>
        <sz val="12"/>
        <color indexed="8"/>
        <rFont val="Arial"/>
        <family val="2"/>
      </rPr>
      <t>Charge_NOx</t>
    </r>
  </si>
  <si>
    <r>
      <t>1/</t>
    </r>
    <r>
      <rPr>
        <i/>
        <sz val="12"/>
        <color indexed="8"/>
        <rFont val="Arial"/>
        <family val="2"/>
      </rPr>
      <t>Y</t>
    </r>
    <r>
      <rPr>
        <vertAlign val="subscript"/>
        <sz val="12"/>
        <color indexed="8"/>
        <rFont val="Arial"/>
        <family val="2"/>
      </rPr>
      <t>PHA_PAO,Ax</t>
    </r>
  </si>
  <si>
    <r>
      <t>i</t>
    </r>
    <r>
      <rPr>
        <vertAlign val="subscript"/>
        <sz val="12"/>
        <color indexed="8"/>
        <rFont val="Arial"/>
        <family val="2"/>
      </rPr>
      <t>TSS_XBio</t>
    </r>
    <r>
      <rPr>
        <sz val="12"/>
        <color indexed="8"/>
        <rFont val="Arial"/>
        <family val="2"/>
      </rPr>
      <t>/</t>
    </r>
    <r>
      <rPr>
        <i/>
        <sz val="12"/>
        <color indexed="8"/>
        <rFont val="Arial"/>
        <family val="2"/>
      </rPr>
      <t>Y</t>
    </r>
    <r>
      <rPr>
        <vertAlign val="subscript"/>
        <sz val="12"/>
        <color indexed="8"/>
        <rFont val="Arial"/>
        <family val="2"/>
      </rPr>
      <t>PHA_PAO,Ax</t>
    </r>
    <r>
      <rPr>
        <sz val="12"/>
        <color indexed="8"/>
        <rFont val="Arial"/>
        <family val="2"/>
      </rPr>
      <t>-</t>
    </r>
    <r>
      <rPr>
        <i/>
        <sz val="12"/>
        <color indexed="8"/>
        <rFont val="Arial"/>
        <family val="2"/>
      </rPr>
      <t>i</t>
    </r>
    <r>
      <rPr>
        <vertAlign val="subscript"/>
        <sz val="12"/>
        <color indexed="8"/>
        <rFont val="Arial"/>
        <family val="2"/>
      </rPr>
      <t>TSS_XPAO,PHA</t>
    </r>
  </si>
  <si>
    <r>
      <t>q</t>
    </r>
    <r>
      <rPr>
        <vertAlign val="subscript"/>
        <sz val="12"/>
        <color indexed="8"/>
        <rFont val="Arial"/>
        <family val="2"/>
      </rPr>
      <t>PHA_PAO</t>
    </r>
    <r>
      <rPr>
        <sz val="12"/>
        <color indexed="8"/>
        <rFont val="Arial"/>
        <family val="2"/>
      </rPr>
      <t>*</t>
    </r>
    <r>
      <rPr>
        <i/>
        <sz val="12"/>
        <color indexed="8"/>
        <rFont val="Arial"/>
        <family val="2"/>
      </rPr>
      <t>n</t>
    </r>
    <r>
      <rPr>
        <vertAlign val="subscript"/>
        <sz val="12"/>
        <color indexed="8"/>
        <rFont val="Arial"/>
        <family val="2"/>
      </rPr>
      <t>qPAO,Ax</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NHx,PAO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PO4,PAO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K</t>
    </r>
    <r>
      <rPr>
        <vertAlign val="subscript"/>
        <sz val="12"/>
        <color indexed="8"/>
        <rFont val="Arial"/>
        <family val="2"/>
      </rPr>
      <t>Alk,PAO</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fPHA_PAO</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</si>
  <si>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Anoxic Storage of X</t>
    </r>
    <r>
      <rPr>
        <b/>
        <vertAlign val="subscript"/>
        <sz val="12"/>
        <color indexed="8"/>
        <rFont val="Arial"/>
        <family val="2"/>
      </rPr>
      <t>PAO,PP</t>
    </r>
  </si>
  <si>
    <r>
      <t>i</t>
    </r>
    <r>
      <rPr>
        <vertAlign val="subscript"/>
        <sz val="12"/>
        <color indexed="8"/>
        <rFont val="Arial"/>
        <family val="2"/>
      </rPr>
      <t>N_XBio</t>
    </r>
    <r>
      <rPr>
        <sz val="12"/>
        <color indexed="8"/>
        <rFont val="Arial"/>
        <family val="2"/>
      </rPr>
      <t>/</t>
    </r>
    <r>
      <rPr>
        <i/>
        <sz val="12"/>
        <color indexed="8"/>
        <rFont val="Arial"/>
        <family val="2"/>
      </rPr>
      <t>Y</t>
    </r>
    <r>
      <rPr>
        <vertAlign val="subscript"/>
        <sz val="12"/>
        <color indexed="8"/>
        <rFont val="Arial"/>
        <family val="2"/>
      </rPr>
      <t>PAO_PP,Ax</t>
    </r>
  </si>
  <si>
    <r>
      <t>-(1/</t>
    </r>
    <r>
      <rPr>
        <i/>
        <sz val="12"/>
        <color indexed="8"/>
        <rFont val="Arial"/>
        <family val="2"/>
      </rPr>
      <t>Y</t>
    </r>
    <r>
      <rPr>
        <vertAlign val="subscript"/>
        <sz val="12"/>
        <color indexed="8"/>
        <rFont val="Arial"/>
        <family val="2"/>
      </rPr>
      <t>PAO_PP,Ax</t>
    </r>
    <r>
      <rPr>
        <sz val="12"/>
        <color indexed="8"/>
        <rFont val="Arial"/>
        <family val="2"/>
      </rPr>
      <t>)/</t>
    </r>
    <r>
      <rPr>
        <i/>
        <sz val="12"/>
        <color indexed="8"/>
        <rFont val="Arial"/>
        <family val="2"/>
      </rPr>
      <t>i</t>
    </r>
    <r>
      <rPr>
        <vertAlign val="subscript"/>
        <sz val="12"/>
        <color indexed="8"/>
        <rFont val="Arial"/>
        <family val="2"/>
      </rPr>
      <t>NOx,N2</t>
    </r>
  </si>
  <si>
    <r>
      <t>(1/</t>
    </r>
    <r>
      <rPr>
        <i/>
        <sz val="12"/>
        <color indexed="8"/>
        <rFont val="Arial"/>
        <family val="2"/>
      </rPr>
      <t>Y</t>
    </r>
    <r>
      <rPr>
        <vertAlign val="subscript"/>
        <sz val="12"/>
        <color indexed="8"/>
        <rFont val="Arial"/>
        <family val="2"/>
      </rPr>
      <t>PAO_PP,Ax</t>
    </r>
    <r>
      <rPr>
        <sz val="12"/>
        <color indexed="8"/>
        <rFont val="Arial"/>
        <family val="2"/>
      </rPr>
      <t>)/</t>
    </r>
    <r>
      <rPr>
        <i/>
        <sz val="12"/>
        <color indexed="8"/>
        <rFont val="Arial"/>
        <family val="2"/>
      </rPr>
      <t>i</t>
    </r>
    <r>
      <rPr>
        <vertAlign val="subscript"/>
        <sz val="12"/>
        <color indexed="8"/>
        <rFont val="Arial"/>
        <family val="2"/>
      </rPr>
      <t>NOx,N2</t>
    </r>
  </si>
  <si>
    <r>
      <t>i</t>
    </r>
    <r>
      <rPr>
        <vertAlign val="subscript"/>
        <sz val="12"/>
        <color indexed="8"/>
        <rFont val="Arial"/>
        <family val="2"/>
      </rPr>
      <t>P_XBio</t>
    </r>
    <r>
      <rPr>
        <sz val="12"/>
        <color indexed="8"/>
        <rFont val="Arial"/>
        <family val="2"/>
      </rPr>
      <t>/</t>
    </r>
    <r>
      <rPr>
        <i/>
        <sz val="12"/>
        <color indexed="8"/>
        <rFont val="Arial"/>
        <family val="2"/>
      </rPr>
      <t>Y</t>
    </r>
    <r>
      <rPr>
        <vertAlign val="subscript"/>
        <sz val="12"/>
        <color indexed="8"/>
        <rFont val="Arial"/>
        <family val="2"/>
      </rPr>
      <t>PAO_PP,Ax</t>
    </r>
    <r>
      <rPr>
        <sz val="12"/>
        <color indexed="8"/>
        <rFont val="Arial"/>
        <family val="2"/>
      </rPr>
      <t>-1</t>
    </r>
  </si>
  <si>
    <r>
      <t>v</t>
    </r>
    <r>
      <rPr>
        <vertAlign val="subscript"/>
        <sz val="12"/>
        <color indexed="8"/>
        <rFont val="Arial"/>
        <family val="2"/>
      </rPr>
      <t>14_SNHx</t>
    </r>
    <r>
      <rPr>
        <sz val="12"/>
        <color indexed="8"/>
        <rFont val="Arial"/>
        <family val="2"/>
      </rPr>
      <t>*</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14_SPO4</t>
    </r>
    <r>
      <rPr>
        <sz val="12"/>
        <color indexed="8"/>
        <rFont val="Arial"/>
        <family val="2"/>
      </rPr>
      <t>*</t>
    </r>
    <r>
      <rPr>
        <i/>
        <sz val="12"/>
        <color indexed="8"/>
        <rFont val="Arial"/>
        <family val="2"/>
      </rPr>
      <t>i</t>
    </r>
    <r>
      <rPr>
        <vertAlign val="subscript"/>
        <sz val="12"/>
        <color indexed="8"/>
        <rFont val="Arial"/>
        <family val="2"/>
      </rPr>
      <t>Charge_PO4</t>
    </r>
    <r>
      <rPr>
        <sz val="12"/>
        <color indexed="8"/>
        <rFont val="Arial"/>
        <family val="2"/>
      </rPr>
      <t>+</t>
    </r>
    <r>
      <rPr>
        <i/>
        <sz val="12"/>
        <color indexed="8"/>
        <rFont val="Arial"/>
        <family val="2"/>
      </rPr>
      <t>v</t>
    </r>
    <r>
      <rPr>
        <vertAlign val="subscript"/>
        <sz val="12"/>
        <color indexed="8"/>
        <rFont val="Arial"/>
        <family val="2"/>
      </rPr>
      <t>14_SNOx</t>
    </r>
    <r>
      <rPr>
        <sz val="12"/>
        <color indexed="8"/>
        <rFont val="Arial"/>
        <family val="2"/>
      </rPr>
      <t>*</t>
    </r>
    <r>
      <rPr>
        <i/>
        <sz val="12"/>
        <color indexed="8"/>
        <rFont val="Arial"/>
        <family val="2"/>
      </rPr>
      <t>i</t>
    </r>
    <r>
      <rPr>
        <vertAlign val="subscript"/>
        <sz val="12"/>
        <color indexed="8"/>
        <rFont val="Arial"/>
        <family val="2"/>
      </rPr>
      <t>Charge_NOx</t>
    </r>
    <r>
      <rPr>
        <sz val="12"/>
        <color indexed="8"/>
        <rFont val="Arial"/>
        <family val="2"/>
      </rPr>
      <t>+</t>
    </r>
    <r>
      <rPr>
        <i/>
        <sz val="12"/>
        <color indexed="8"/>
        <rFont val="Arial"/>
        <family val="2"/>
      </rPr>
      <t>i</t>
    </r>
    <r>
      <rPr>
        <vertAlign val="subscript"/>
        <sz val="12"/>
        <color indexed="8"/>
        <rFont val="Arial"/>
        <family val="2"/>
      </rPr>
      <t>Charge_XPAO,PP</t>
    </r>
  </si>
  <si>
    <r>
      <t>-1/</t>
    </r>
    <r>
      <rPr>
        <i/>
        <sz val="12"/>
        <color indexed="8"/>
        <rFont val="Arial"/>
        <family val="2"/>
      </rPr>
      <t>Y</t>
    </r>
    <r>
      <rPr>
        <vertAlign val="subscript"/>
        <sz val="12"/>
        <color indexed="8"/>
        <rFont val="Arial"/>
        <family val="2"/>
      </rPr>
      <t>PAO_PP,Ax</t>
    </r>
  </si>
  <si>
    <r>
      <t>-</t>
    </r>
    <r>
      <rPr>
        <i/>
        <sz val="12"/>
        <color indexed="8"/>
        <rFont val="Arial"/>
        <family val="2"/>
      </rPr>
      <t>i</t>
    </r>
    <r>
      <rPr>
        <vertAlign val="subscript"/>
        <sz val="12"/>
        <color indexed="8"/>
        <rFont val="Arial"/>
        <family val="2"/>
      </rPr>
      <t>TSS_XBio</t>
    </r>
    <r>
      <rPr>
        <sz val="12"/>
        <color indexed="8"/>
        <rFont val="Arial"/>
        <family val="2"/>
      </rPr>
      <t>/</t>
    </r>
    <r>
      <rPr>
        <i/>
        <sz val="12"/>
        <color indexed="8"/>
        <rFont val="Arial"/>
        <family val="2"/>
      </rPr>
      <t>Y</t>
    </r>
    <r>
      <rPr>
        <vertAlign val="subscript"/>
        <sz val="12"/>
        <color indexed="8"/>
        <rFont val="Arial"/>
        <family val="2"/>
      </rPr>
      <t>PAO_PP,Ax</t>
    </r>
    <r>
      <rPr>
        <sz val="12"/>
        <color indexed="8"/>
        <rFont val="Arial"/>
        <family val="2"/>
      </rPr>
      <t>+</t>
    </r>
    <r>
      <rPr>
        <i/>
        <sz val="12"/>
        <color indexed="8"/>
        <rFont val="Arial"/>
        <family val="2"/>
      </rPr>
      <t>i</t>
    </r>
    <r>
      <rPr>
        <vertAlign val="subscript"/>
        <sz val="12"/>
        <color indexed="8"/>
        <rFont val="Arial"/>
        <family val="2"/>
      </rPr>
      <t>TSS_XPAO,PP</t>
    </r>
  </si>
  <si>
    <r>
      <t>q</t>
    </r>
    <r>
      <rPr>
        <vertAlign val="subscript"/>
        <sz val="12"/>
        <color indexed="8"/>
        <rFont val="Arial"/>
        <family val="2"/>
      </rPr>
      <t>PAO,PO4_PP</t>
    </r>
    <r>
      <rPr>
        <sz val="12"/>
        <color indexed="8"/>
        <rFont val="Arial"/>
        <family val="2"/>
      </rPr>
      <t>*</t>
    </r>
    <r>
      <rPr>
        <i/>
        <sz val="12"/>
        <color indexed="8"/>
        <rFont val="Arial"/>
        <family val="2"/>
      </rPr>
      <t>n</t>
    </r>
    <r>
      <rPr>
        <vertAlign val="subscript"/>
        <sz val="12"/>
        <color indexed="8"/>
        <rFont val="Arial"/>
        <family val="2"/>
      </rPr>
      <t>qPAO,Ax</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n</t>
    </r>
    <r>
      <rPr>
        <vertAlign val="subscript"/>
        <sz val="12"/>
        <color indexed="8"/>
        <rFont val="Arial"/>
        <family val="2"/>
      </rPr>
      <t>KO2</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PO4,PAO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K</t>
    </r>
    <r>
      <rPr>
        <vertAlign val="subscript"/>
        <sz val="12"/>
        <color indexed="8"/>
        <rFont val="Arial"/>
        <family val="2"/>
      </rPr>
      <t>PHA,PAO</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f</t>
    </r>
    <r>
      <rPr>
        <vertAlign val="subscript"/>
        <sz val="12"/>
        <color indexed="8"/>
        <rFont val="Arial"/>
        <family val="2"/>
      </rPr>
      <t>pp,max</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I,fPP_PAO</t>
    </r>
    <r>
      <rPr>
        <sz val="12"/>
        <color indexed="8"/>
        <rFont val="Arial"/>
        <family val="2"/>
      </rPr>
      <t>+(</t>
    </r>
    <r>
      <rPr>
        <i/>
        <sz val="12"/>
        <color indexed="8"/>
        <rFont val="Arial"/>
        <family val="2"/>
      </rPr>
      <t>f</t>
    </r>
    <r>
      <rPr>
        <vertAlign val="subscript"/>
        <sz val="12"/>
        <color indexed="8"/>
        <rFont val="Arial"/>
        <family val="2"/>
      </rPr>
      <t>PP_PAO,Max</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</si>
  <si>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i</t>
    </r>
    <r>
      <rPr>
        <vertAlign val="subscript"/>
        <sz val="12"/>
        <color indexed="8"/>
        <rFont val="Arial"/>
        <family val="2"/>
      </rPr>
      <t>N_XBio</t>
    </r>
    <r>
      <rPr>
        <sz val="12"/>
        <color indexed="8"/>
        <rFont val="Arial"/>
        <family val="2"/>
      </rPr>
      <t>/</t>
    </r>
    <r>
      <rPr>
        <i/>
        <sz val="12"/>
        <color indexed="8"/>
        <rFont val="Arial"/>
        <family val="2"/>
      </rPr>
      <t>Y</t>
    </r>
    <r>
      <rPr>
        <vertAlign val="subscript"/>
        <sz val="12"/>
        <color indexed="8"/>
        <rFont val="Arial"/>
        <family val="2"/>
      </rPr>
      <t>PAO_Gly,Ax</t>
    </r>
  </si>
  <si>
    <r>
      <t>-(1/</t>
    </r>
    <r>
      <rPr>
        <i/>
        <sz val="12"/>
        <color indexed="8"/>
        <rFont val="Arial"/>
        <family val="2"/>
      </rPr>
      <t>Y</t>
    </r>
    <r>
      <rPr>
        <vertAlign val="subscript"/>
        <sz val="12"/>
        <color indexed="8"/>
        <rFont val="Arial"/>
        <family val="2"/>
      </rPr>
      <t>PAO_Gly,Ax</t>
    </r>
    <r>
      <rPr>
        <sz val="12"/>
        <color indexed="8"/>
        <rFont val="Arial"/>
        <family val="2"/>
      </rPr>
      <t>-1)/</t>
    </r>
    <r>
      <rPr>
        <i/>
        <sz val="12"/>
        <color indexed="8"/>
        <rFont val="Arial"/>
        <family val="2"/>
      </rPr>
      <t>i</t>
    </r>
    <r>
      <rPr>
        <vertAlign val="subscript"/>
        <sz val="12"/>
        <color indexed="8"/>
        <rFont val="Arial"/>
        <family val="2"/>
      </rPr>
      <t>NOx,N2</t>
    </r>
  </si>
  <si>
    <r>
      <t>(1/</t>
    </r>
    <r>
      <rPr>
        <i/>
        <sz val="12"/>
        <color indexed="8"/>
        <rFont val="Arial"/>
        <family val="2"/>
      </rPr>
      <t>Y</t>
    </r>
    <r>
      <rPr>
        <vertAlign val="subscript"/>
        <sz val="12"/>
        <color indexed="8"/>
        <rFont val="Arial"/>
        <family val="2"/>
      </rPr>
      <t>PAO_Gly,Ax</t>
    </r>
    <r>
      <rPr>
        <sz val="12"/>
        <color indexed="8"/>
        <rFont val="Arial"/>
        <family val="2"/>
      </rPr>
      <t>-1)/</t>
    </r>
    <r>
      <rPr>
        <i/>
        <sz val="12"/>
        <color indexed="8"/>
        <rFont val="Arial"/>
        <family val="2"/>
      </rPr>
      <t>i</t>
    </r>
    <r>
      <rPr>
        <vertAlign val="subscript"/>
        <sz val="12"/>
        <color indexed="8"/>
        <rFont val="Arial"/>
        <family val="2"/>
      </rPr>
      <t>NOx,N2</t>
    </r>
  </si>
  <si>
    <r>
      <t>i</t>
    </r>
    <r>
      <rPr>
        <vertAlign val="subscript"/>
        <sz val="12"/>
        <color indexed="8"/>
        <rFont val="Arial"/>
        <family val="2"/>
      </rPr>
      <t>P_XBio</t>
    </r>
    <r>
      <rPr>
        <sz val="12"/>
        <color indexed="8"/>
        <rFont val="Arial"/>
        <family val="2"/>
      </rPr>
      <t>/</t>
    </r>
    <r>
      <rPr>
        <i/>
        <sz val="12"/>
        <color indexed="8"/>
        <rFont val="Arial"/>
        <family val="2"/>
      </rPr>
      <t>Y</t>
    </r>
    <r>
      <rPr>
        <vertAlign val="subscript"/>
        <sz val="12"/>
        <color indexed="8"/>
        <rFont val="Arial"/>
        <family val="2"/>
      </rPr>
      <t>PAO_Gly,Ax</t>
    </r>
  </si>
  <si>
    <r>
      <t>v</t>
    </r>
    <r>
      <rPr>
        <vertAlign val="subscript"/>
        <sz val="12"/>
        <color indexed="8"/>
        <rFont val="Arial"/>
        <family val="2"/>
      </rPr>
      <t>15_SNHx</t>
    </r>
    <r>
      <rPr>
        <sz val="12"/>
        <color indexed="8"/>
        <rFont val="Arial"/>
        <family val="2"/>
      </rPr>
      <t>*</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15_SPO4</t>
    </r>
    <r>
      <rPr>
        <sz val="12"/>
        <color indexed="8"/>
        <rFont val="Arial"/>
        <family val="2"/>
      </rPr>
      <t>*</t>
    </r>
    <r>
      <rPr>
        <i/>
        <sz val="12"/>
        <color indexed="8"/>
        <rFont val="Arial"/>
        <family val="2"/>
      </rPr>
      <t>i</t>
    </r>
    <r>
      <rPr>
        <vertAlign val="subscript"/>
        <sz val="12"/>
        <color indexed="8"/>
        <rFont val="Arial"/>
        <family val="2"/>
      </rPr>
      <t>Charge_PO4</t>
    </r>
    <r>
      <rPr>
        <sz val="12"/>
        <color indexed="8"/>
        <rFont val="Arial"/>
        <family val="2"/>
      </rPr>
      <t>+</t>
    </r>
    <r>
      <rPr>
        <i/>
        <sz val="12"/>
        <color indexed="8"/>
        <rFont val="Arial"/>
        <family val="2"/>
      </rPr>
      <t>v</t>
    </r>
    <r>
      <rPr>
        <vertAlign val="subscript"/>
        <sz val="12"/>
        <color indexed="8"/>
        <rFont val="Arial"/>
        <family val="2"/>
      </rPr>
      <t>15_SNOx</t>
    </r>
    <r>
      <rPr>
        <sz val="12"/>
        <color indexed="8"/>
        <rFont val="Arial"/>
        <family val="2"/>
      </rPr>
      <t>*</t>
    </r>
    <r>
      <rPr>
        <i/>
        <sz val="12"/>
        <color indexed="8"/>
        <rFont val="Arial"/>
        <family val="2"/>
      </rPr>
      <t>i</t>
    </r>
    <r>
      <rPr>
        <vertAlign val="subscript"/>
        <sz val="12"/>
        <color indexed="8"/>
        <rFont val="Arial"/>
        <family val="2"/>
      </rPr>
      <t>Charge_NOx</t>
    </r>
  </si>
  <si>
    <r>
      <t>-1/</t>
    </r>
    <r>
      <rPr>
        <i/>
        <sz val="12"/>
        <color indexed="8"/>
        <rFont val="Arial"/>
        <family val="2"/>
      </rPr>
      <t>Y</t>
    </r>
    <r>
      <rPr>
        <vertAlign val="subscript"/>
        <sz val="12"/>
        <color indexed="8"/>
        <rFont val="Arial"/>
        <family val="2"/>
      </rPr>
      <t>PAO_Gly,Ax</t>
    </r>
  </si>
  <si>
    <r>
      <t>-</t>
    </r>
    <r>
      <rPr>
        <i/>
        <sz val="12"/>
        <color indexed="8"/>
        <rFont val="Arial"/>
        <family val="2"/>
      </rPr>
      <t>i</t>
    </r>
    <r>
      <rPr>
        <vertAlign val="subscript"/>
        <sz val="12"/>
        <color indexed="8"/>
        <rFont val="Arial"/>
        <family val="2"/>
      </rPr>
      <t>TSS_XBio</t>
    </r>
    <r>
      <rPr>
        <sz val="12"/>
        <color indexed="8"/>
        <rFont val="Arial"/>
        <family val="2"/>
      </rPr>
      <t>/</t>
    </r>
    <r>
      <rPr>
        <i/>
        <sz val="12"/>
        <color indexed="8"/>
        <rFont val="Arial"/>
        <family val="2"/>
      </rPr>
      <t>Y</t>
    </r>
    <r>
      <rPr>
        <vertAlign val="subscript"/>
        <sz val="12"/>
        <color indexed="8"/>
        <rFont val="Arial"/>
        <family val="2"/>
      </rPr>
      <t>PAO_Gly,Ax</t>
    </r>
    <r>
      <rPr>
        <sz val="12"/>
        <color indexed="8"/>
        <rFont val="Arial"/>
        <family val="2"/>
      </rPr>
      <t>+</t>
    </r>
    <r>
      <rPr>
        <i/>
        <sz val="12"/>
        <color indexed="8"/>
        <rFont val="Arial"/>
        <family val="2"/>
      </rPr>
      <t>i</t>
    </r>
    <r>
      <rPr>
        <vertAlign val="subscript"/>
        <sz val="12"/>
        <color indexed="8"/>
        <rFont val="Arial"/>
        <family val="2"/>
      </rPr>
      <t>TSS_XPAO,Gly</t>
    </r>
  </si>
  <si>
    <r>
      <t>q</t>
    </r>
    <r>
      <rPr>
        <vertAlign val="subscript"/>
        <sz val="12"/>
        <color indexed="8"/>
        <rFont val="Arial"/>
        <family val="2"/>
      </rPr>
      <t>Gly</t>
    </r>
    <r>
      <rPr>
        <sz val="12"/>
        <color indexed="8"/>
        <rFont val="Arial"/>
        <family val="2"/>
      </rPr>
      <t>*</t>
    </r>
    <r>
      <rPr>
        <i/>
        <sz val="12"/>
        <color indexed="8"/>
        <rFont val="Arial"/>
        <family val="2"/>
      </rPr>
      <t>n</t>
    </r>
    <r>
      <rPr>
        <vertAlign val="subscript"/>
        <sz val="12"/>
        <color indexed="8"/>
        <rFont val="Arial"/>
        <family val="2"/>
      </rPr>
      <t>qPAO,Ax</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PAO,Gly</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K</t>
    </r>
    <r>
      <rPr>
        <vertAlign val="subscript"/>
        <sz val="12"/>
        <color indexed="8"/>
        <rFont val="Arial"/>
        <family val="2"/>
      </rPr>
      <t>PHA,PAO</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f</t>
    </r>
    <r>
      <rPr>
        <vertAlign val="subscript"/>
        <sz val="12"/>
        <color indexed="8"/>
        <rFont val="Arial"/>
        <family val="2"/>
      </rPr>
      <t>gly,max</t>
    </r>
    <r>
      <rPr>
        <sz val="12"/>
        <color indexed="8"/>
        <rFont val="Arial"/>
        <family val="2"/>
      </rPr>
      <t>-(</t>
    </r>
    <r>
      <rPr>
        <i/>
        <sz val="12"/>
        <color indexed="8"/>
        <rFont val="Arial"/>
        <family val="2"/>
      </rPr>
      <t>X</t>
    </r>
    <r>
      <rPr>
        <vertAlign val="subscript"/>
        <sz val="12"/>
        <color indexed="8"/>
        <rFont val="Arial"/>
        <family val="2"/>
      </rPr>
      <t>PAO,Gly</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fGly_PAO</t>
    </r>
    <r>
      <rPr>
        <sz val="12"/>
        <color indexed="8"/>
        <rFont val="Arial"/>
        <family val="2"/>
      </rPr>
      <t>+(</t>
    </r>
    <r>
      <rPr>
        <i/>
        <sz val="12"/>
        <color indexed="8"/>
        <rFont val="Arial"/>
        <family val="2"/>
      </rPr>
      <t>f</t>
    </r>
    <r>
      <rPr>
        <vertAlign val="subscript"/>
        <sz val="12"/>
        <color indexed="8"/>
        <rFont val="Arial"/>
        <family val="2"/>
      </rPr>
      <t>Gly_PAO,Max</t>
    </r>
    <r>
      <rPr>
        <sz val="12"/>
        <color indexed="8"/>
        <rFont val="Arial"/>
        <family val="2"/>
      </rPr>
      <t>-</t>
    </r>
    <r>
      <rPr>
        <i/>
        <sz val="12"/>
        <color indexed="8"/>
        <rFont val="Arial"/>
        <family val="2"/>
      </rPr>
      <t>X</t>
    </r>
    <r>
      <rPr>
        <vertAlign val="subscript"/>
        <sz val="12"/>
        <color indexed="8"/>
        <rFont val="Arial"/>
        <family val="2"/>
      </rPr>
      <t>PAO,Gly</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K</t>
    </r>
    <r>
      <rPr>
        <vertAlign val="subscript"/>
        <sz val="12"/>
        <color indexed="8"/>
        <rFont val="Arial"/>
        <family val="2"/>
      </rPr>
      <t>Alk,PAO</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X</t>
    </r>
    <r>
      <rPr>
        <vertAlign val="subscript"/>
        <sz val="12"/>
        <color indexed="8"/>
        <rFont val="Arial"/>
        <family val="2"/>
      </rPr>
      <t>PAO</t>
    </r>
  </si>
  <si>
    <r>
      <t>v</t>
    </r>
    <r>
      <rPr>
        <vertAlign val="subscript"/>
        <sz val="12"/>
        <color indexed="8"/>
        <rFont val="Arial"/>
        <family val="2"/>
      </rPr>
      <t>16_SNHx</t>
    </r>
    <r>
      <rPr>
        <sz val="12"/>
        <color indexed="8"/>
        <rFont val="Arial"/>
        <family val="2"/>
      </rPr>
      <t>*</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16_SPO4</t>
    </r>
    <r>
      <rPr>
        <sz val="12"/>
        <color indexed="8"/>
        <rFont val="Arial"/>
        <family val="2"/>
      </rPr>
      <t>*</t>
    </r>
    <r>
      <rPr>
        <i/>
        <sz val="12"/>
        <color indexed="8"/>
        <rFont val="Arial"/>
        <family val="2"/>
      </rPr>
      <t>i</t>
    </r>
    <r>
      <rPr>
        <vertAlign val="subscript"/>
        <sz val="12"/>
        <color indexed="8"/>
        <rFont val="Arial"/>
        <family val="2"/>
      </rPr>
      <t>Charge_PO4</t>
    </r>
    <r>
      <rPr>
        <sz val="12"/>
        <color indexed="8"/>
        <rFont val="Arial"/>
        <family val="2"/>
      </rPr>
      <t>+</t>
    </r>
    <r>
      <rPr>
        <i/>
        <sz val="12"/>
        <color indexed="8"/>
        <rFont val="Arial"/>
        <family val="2"/>
      </rPr>
      <t>v</t>
    </r>
    <r>
      <rPr>
        <vertAlign val="subscript"/>
        <sz val="12"/>
        <color indexed="8"/>
        <rFont val="Arial"/>
        <family val="2"/>
      </rPr>
      <t>16_SNOx</t>
    </r>
    <r>
      <rPr>
        <sz val="12"/>
        <color indexed="8"/>
        <rFont val="Arial"/>
        <family val="2"/>
      </rPr>
      <t>*</t>
    </r>
    <r>
      <rPr>
        <i/>
        <sz val="12"/>
        <color indexed="8"/>
        <rFont val="Arial"/>
        <family val="2"/>
      </rPr>
      <t>i</t>
    </r>
    <r>
      <rPr>
        <vertAlign val="subscript"/>
        <sz val="12"/>
        <color indexed="8"/>
        <rFont val="Arial"/>
        <family val="2"/>
      </rPr>
      <t>Charge_NOx</t>
    </r>
  </si>
  <si>
    <r>
      <t>-</t>
    </r>
    <r>
      <rPr>
        <i/>
        <sz val="12"/>
        <color indexed="8"/>
        <rFont val="Arial"/>
        <family val="2"/>
      </rPr>
      <t>i</t>
    </r>
    <r>
      <rPr>
        <vertAlign val="subscript"/>
        <sz val="12"/>
        <color indexed="8"/>
        <rFont val="Arial"/>
        <family val="2"/>
      </rPr>
      <t>TSS_XBio</t>
    </r>
  </si>
  <si>
    <r>
      <t>m</t>
    </r>
    <r>
      <rPr>
        <vertAlign val="subscript"/>
        <sz val="12"/>
        <color indexed="8"/>
        <rFont val="Arial"/>
        <family val="2"/>
      </rPr>
      <t>PAO,Ax</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PAO</t>
    </r>
  </si>
  <si>
    <r>
      <t>Aerobic X</t>
    </r>
    <r>
      <rPr>
        <b/>
        <vertAlign val="subscript"/>
        <sz val="12"/>
        <color indexed="8"/>
        <rFont val="Arial"/>
        <family val="2"/>
      </rPr>
      <t xml:space="preserve">PAO,PHA </t>
    </r>
    <r>
      <rPr>
        <b/>
        <sz val="12"/>
        <color indexed="8"/>
        <rFont val="Arial"/>
        <family val="2"/>
      </rPr>
      <t>consumption</t>
    </r>
  </si>
  <si>
    <r>
      <t>-1+1/</t>
    </r>
    <r>
      <rPr>
        <i/>
        <sz val="12"/>
        <color indexed="8"/>
        <rFont val="Arial"/>
        <family val="2"/>
      </rPr>
      <t>Y</t>
    </r>
    <r>
      <rPr>
        <vertAlign val="subscript"/>
        <sz val="12"/>
        <color indexed="8"/>
        <rFont val="Arial"/>
        <family val="2"/>
      </rPr>
      <t>PHA_PAO,Ox</t>
    </r>
  </si>
  <si>
    <r>
      <t>-</t>
    </r>
    <r>
      <rPr>
        <i/>
        <sz val="12"/>
        <color indexed="8"/>
        <rFont val="Arial"/>
        <family val="2"/>
      </rPr>
      <t>i</t>
    </r>
    <r>
      <rPr>
        <vertAlign val="subscript"/>
        <sz val="12"/>
        <color indexed="8"/>
        <rFont val="Arial"/>
        <family val="2"/>
      </rPr>
      <t>N_XBio</t>
    </r>
    <r>
      <rPr>
        <sz val="12"/>
        <color indexed="8"/>
        <rFont val="Arial"/>
        <family val="2"/>
      </rPr>
      <t>/</t>
    </r>
    <r>
      <rPr>
        <i/>
        <sz val="12"/>
        <color indexed="8"/>
        <rFont val="Arial"/>
        <family val="2"/>
      </rPr>
      <t>Y</t>
    </r>
    <r>
      <rPr>
        <vertAlign val="subscript"/>
        <sz val="12"/>
        <color indexed="8"/>
        <rFont val="Arial"/>
        <family val="2"/>
      </rPr>
      <t>PHA_PAO,Ox</t>
    </r>
  </si>
  <si>
    <r>
      <t>-</t>
    </r>
    <r>
      <rPr>
        <i/>
        <sz val="12"/>
        <color indexed="8"/>
        <rFont val="Arial"/>
        <family val="2"/>
      </rPr>
      <t>i</t>
    </r>
    <r>
      <rPr>
        <vertAlign val="subscript"/>
        <sz val="12"/>
        <color indexed="8"/>
        <rFont val="Arial"/>
        <family val="2"/>
      </rPr>
      <t>P_XBio</t>
    </r>
    <r>
      <rPr>
        <sz val="12"/>
        <color indexed="8"/>
        <rFont val="Arial"/>
        <family val="2"/>
      </rPr>
      <t>/</t>
    </r>
    <r>
      <rPr>
        <i/>
        <sz val="12"/>
        <color indexed="8"/>
        <rFont val="Arial"/>
        <family val="2"/>
      </rPr>
      <t>Y</t>
    </r>
    <r>
      <rPr>
        <vertAlign val="subscript"/>
        <sz val="12"/>
        <color indexed="8"/>
        <rFont val="Arial"/>
        <family val="2"/>
      </rPr>
      <t>PHA_PAO,Ox</t>
    </r>
  </si>
  <si>
    <r>
      <t>v</t>
    </r>
    <r>
      <rPr>
        <vertAlign val="subscript"/>
        <sz val="12"/>
        <color indexed="8"/>
        <rFont val="Arial"/>
        <family val="2"/>
      </rPr>
      <t>17_SNHx</t>
    </r>
    <r>
      <rPr>
        <sz val="12"/>
        <color indexed="8"/>
        <rFont val="Arial"/>
        <family val="2"/>
      </rPr>
      <t>*</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17_SPO4</t>
    </r>
    <r>
      <rPr>
        <sz val="12"/>
        <color indexed="8"/>
        <rFont val="Arial"/>
        <family val="2"/>
      </rPr>
      <t>*</t>
    </r>
    <r>
      <rPr>
        <i/>
        <sz val="12"/>
        <color indexed="8"/>
        <rFont val="Arial"/>
        <family val="2"/>
      </rPr>
      <t>i</t>
    </r>
    <r>
      <rPr>
        <vertAlign val="subscript"/>
        <sz val="12"/>
        <color indexed="8"/>
        <rFont val="Arial"/>
        <family val="2"/>
      </rPr>
      <t>Charge_PO4</t>
    </r>
  </si>
  <si>
    <r>
      <t>1/</t>
    </r>
    <r>
      <rPr>
        <i/>
        <sz val="12"/>
        <color indexed="8"/>
        <rFont val="Arial"/>
        <family val="2"/>
      </rPr>
      <t>Y</t>
    </r>
    <r>
      <rPr>
        <vertAlign val="subscript"/>
        <sz val="12"/>
        <color indexed="8"/>
        <rFont val="Arial"/>
        <family val="2"/>
      </rPr>
      <t>PHA_PAO,Ox</t>
    </r>
  </si>
  <si>
    <r>
      <t>i</t>
    </r>
    <r>
      <rPr>
        <vertAlign val="subscript"/>
        <sz val="12"/>
        <color indexed="8"/>
        <rFont val="Arial"/>
        <family val="2"/>
      </rPr>
      <t>TSS_XBio</t>
    </r>
    <r>
      <rPr>
        <sz val="12"/>
        <color indexed="8"/>
        <rFont val="Arial"/>
        <family val="2"/>
      </rPr>
      <t>/</t>
    </r>
    <r>
      <rPr>
        <i/>
        <sz val="12"/>
        <color indexed="8"/>
        <rFont val="Arial"/>
        <family val="2"/>
      </rPr>
      <t>Y</t>
    </r>
    <r>
      <rPr>
        <vertAlign val="subscript"/>
        <sz val="12"/>
        <color indexed="8"/>
        <rFont val="Arial"/>
        <family val="2"/>
      </rPr>
      <t>PHA_PAO,Ox</t>
    </r>
    <r>
      <rPr>
        <sz val="12"/>
        <color indexed="8"/>
        <rFont val="Arial"/>
        <family val="2"/>
      </rPr>
      <t>-</t>
    </r>
    <r>
      <rPr>
        <i/>
        <sz val="12"/>
        <color indexed="8"/>
        <rFont val="Arial"/>
        <family val="2"/>
      </rPr>
      <t>i</t>
    </r>
    <r>
      <rPr>
        <vertAlign val="subscript"/>
        <sz val="12"/>
        <color indexed="8"/>
        <rFont val="Arial"/>
        <family val="2"/>
      </rPr>
      <t>TSS_XPAO,PHA</t>
    </r>
  </si>
  <si>
    <r>
      <t>q</t>
    </r>
    <r>
      <rPr>
        <vertAlign val="subscript"/>
        <sz val="12"/>
        <color indexed="8"/>
        <rFont val="Arial"/>
        <family val="2"/>
      </rPr>
      <t>PHA_PAO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NHx,PAO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PO4,PAO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K</t>
    </r>
    <r>
      <rPr>
        <vertAlign val="subscript"/>
        <sz val="12"/>
        <color indexed="8"/>
        <rFont val="Arial"/>
        <family val="2"/>
      </rPr>
      <t>Alk,PAO</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fPHA_PAO</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</si>
  <si>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Conversion factor X</t>
    </r>
    <r>
      <rPr>
        <vertAlign val="subscript"/>
        <sz val="10"/>
        <rFont val="Arial"/>
        <family val="2"/>
      </rPr>
      <t>PAO,Gly</t>
    </r>
    <r>
      <rPr>
        <sz val="10"/>
        <rFont val="Arial"/>
        <family val="2"/>
      </rPr>
      <t xml:space="preserve"> in TSS</t>
    </r>
  </si>
  <si>
    <r>
      <t>g TSS.g X</t>
    </r>
    <r>
      <rPr>
        <vertAlign val="subscript"/>
        <sz val="8"/>
        <rFont val="Arial"/>
        <family val="2"/>
      </rPr>
      <t>Gly</t>
    </r>
    <r>
      <rPr>
        <vertAlign val="superscript"/>
        <sz val="10"/>
        <rFont val="Arial"/>
        <family val="2"/>
      </rPr>
      <t>-1</t>
    </r>
  </si>
  <si>
    <r>
      <t>Aerobic Storage of X</t>
    </r>
    <r>
      <rPr>
        <b/>
        <vertAlign val="subscript"/>
        <sz val="12"/>
        <color indexed="8"/>
        <rFont val="Arial"/>
        <family val="2"/>
      </rPr>
      <t>PAO,PP</t>
    </r>
  </si>
  <si>
    <r>
      <t>-1/</t>
    </r>
    <r>
      <rPr>
        <i/>
        <sz val="12"/>
        <color indexed="8"/>
        <rFont val="Arial"/>
        <family val="2"/>
      </rPr>
      <t>Y</t>
    </r>
    <r>
      <rPr>
        <vertAlign val="subscript"/>
        <sz val="12"/>
        <color indexed="8"/>
        <rFont val="Arial"/>
        <family val="2"/>
      </rPr>
      <t>PAO_PP,Ox</t>
    </r>
  </si>
  <si>
    <r>
      <t>i</t>
    </r>
    <r>
      <rPr>
        <vertAlign val="subscript"/>
        <sz val="12"/>
        <color indexed="8"/>
        <rFont val="Arial"/>
        <family val="2"/>
      </rPr>
      <t>N_XBio</t>
    </r>
    <r>
      <rPr>
        <sz val="12"/>
        <color indexed="8"/>
        <rFont val="Arial"/>
        <family val="2"/>
      </rPr>
      <t>/</t>
    </r>
    <r>
      <rPr>
        <i/>
        <sz val="12"/>
        <color indexed="8"/>
        <rFont val="Arial"/>
        <family val="2"/>
      </rPr>
      <t>Y</t>
    </r>
    <r>
      <rPr>
        <vertAlign val="subscript"/>
        <sz val="12"/>
        <color indexed="8"/>
        <rFont val="Arial"/>
        <family val="2"/>
      </rPr>
      <t>PAO_PP,Ox</t>
    </r>
  </si>
  <si>
    <r>
      <t>i</t>
    </r>
    <r>
      <rPr>
        <vertAlign val="subscript"/>
        <sz val="12"/>
        <color indexed="8"/>
        <rFont val="Arial"/>
        <family val="2"/>
      </rPr>
      <t>P_XBio</t>
    </r>
    <r>
      <rPr>
        <sz val="12"/>
        <color indexed="8"/>
        <rFont val="Arial"/>
        <family val="2"/>
      </rPr>
      <t>/</t>
    </r>
    <r>
      <rPr>
        <i/>
        <sz val="12"/>
        <color indexed="8"/>
        <rFont val="Arial"/>
        <family val="2"/>
      </rPr>
      <t>Y</t>
    </r>
    <r>
      <rPr>
        <vertAlign val="subscript"/>
        <sz val="12"/>
        <color indexed="8"/>
        <rFont val="Arial"/>
        <family val="2"/>
      </rPr>
      <t>PAO_PP,Ox</t>
    </r>
    <r>
      <rPr>
        <sz val="12"/>
        <color indexed="8"/>
        <rFont val="Arial"/>
        <family val="2"/>
      </rPr>
      <t>-1</t>
    </r>
  </si>
  <si>
    <r>
      <t>v</t>
    </r>
    <r>
      <rPr>
        <vertAlign val="subscript"/>
        <sz val="12"/>
        <color indexed="8"/>
        <rFont val="Arial"/>
        <family val="2"/>
      </rPr>
      <t>18_SNHx</t>
    </r>
    <r>
      <rPr>
        <sz val="12"/>
        <color indexed="8"/>
        <rFont val="Arial"/>
        <family val="2"/>
      </rPr>
      <t>*</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18_SPO4</t>
    </r>
    <r>
      <rPr>
        <sz val="12"/>
        <color indexed="8"/>
        <rFont val="Arial"/>
        <family val="2"/>
      </rPr>
      <t>*</t>
    </r>
    <r>
      <rPr>
        <i/>
        <sz val="12"/>
        <color indexed="8"/>
        <rFont val="Arial"/>
        <family val="2"/>
      </rPr>
      <t>i</t>
    </r>
    <r>
      <rPr>
        <vertAlign val="subscript"/>
        <sz val="12"/>
        <color indexed="8"/>
        <rFont val="Arial"/>
        <family val="2"/>
      </rPr>
      <t>Charge_PO4</t>
    </r>
    <r>
      <rPr>
        <sz val="12"/>
        <color indexed="8"/>
        <rFont val="Arial"/>
        <family val="2"/>
      </rPr>
      <t>+</t>
    </r>
    <r>
      <rPr>
        <i/>
        <sz val="12"/>
        <color indexed="8"/>
        <rFont val="Arial"/>
        <family val="2"/>
      </rPr>
      <t>i</t>
    </r>
    <r>
      <rPr>
        <vertAlign val="subscript"/>
        <sz val="12"/>
        <color indexed="8"/>
        <rFont val="Arial"/>
        <family val="2"/>
      </rPr>
      <t>Charge_XPAO,PP</t>
    </r>
  </si>
  <si>
    <r>
      <t>-</t>
    </r>
    <r>
      <rPr>
        <i/>
        <sz val="12"/>
        <color indexed="8"/>
        <rFont val="Arial"/>
        <family val="2"/>
      </rPr>
      <t>i</t>
    </r>
    <r>
      <rPr>
        <vertAlign val="subscript"/>
        <sz val="12"/>
        <color indexed="8"/>
        <rFont val="Arial"/>
        <family val="2"/>
      </rPr>
      <t>TSS_XBio</t>
    </r>
    <r>
      <rPr>
        <sz val="12"/>
        <color indexed="8"/>
        <rFont val="Arial"/>
        <family val="2"/>
      </rPr>
      <t>/</t>
    </r>
    <r>
      <rPr>
        <i/>
        <sz val="12"/>
        <color indexed="8"/>
        <rFont val="Arial"/>
        <family val="2"/>
      </rPr>
      <t>Y</t>
    </r>
    <r>
      <rPr>
        <vertAlign val="subscript"/>
        <sz val="12"/>
        <color indexed="8"/>
        <rFont val="Arial"/>
        <family val="2"/>
      </rPr>
      <t>PAO_PP,Ox</t>
    </r>
    <r>
      <rPr>
        <sz val="12"/>
        <color indexed="8"/>
        <rFont val="Arial"/>
        <family val="2"/>
      </rPr>
      <t>+</t>
    </r>
    <r>
      <rPr>
        <i/>
        <sz val="12"/>
        <color indexed="8"/>
        <rFont val="Arial"/>
        <family val="2"/>
      </rPr>
      <t>i</t>
    </r>
    <r>
      <rPr>
        <vertAlign val="subscript"/>
        <sz val="12"/>
        <color indexed="8"/>
        <rFont val="Arial"/>
        <family val="2"/>
      </rPr>
      <t>TSS_XPAO,PP</t>
    </r>
  </si>
  <si>
    <r>
      <t>q</t>
    </r>
    <r>
      <rPr>
        <vertAlign val="subscript"/>
        <sz val="12"/>
        <color indexed="8"/>
        <rFont val="Arial"/>
        <family val="2"/>
      </rPr>
      <t>PAO,PO4_PP</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n</t>
    </r>
    <r>
      <rPr>
        <vertAlign val="subscript"/>
        <sz val="12"/>
        <color indexed="8"/>
        <rFont val="Arial"/>
        <family val="2"/>
      </rPr>
      <t>KO2</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PO4,PAO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K</t>
    </r>
    <r>
      <rPr>
        <vertAlign val="subscript"/>
        <sz val="12"/>
        <color indexed="8"/>
        <rFont val="Arial"/>
        <family val="2"/>
      </rPr>
      <t>PHA,PAO</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f</t>
    </r>
    <r>
      <rPr>
        <vertAlign val="subscript"/>
        <sz val="12"/>
        <color indexed="8"/>
        <rFont val="Arial"/>
        <family val="2"/>
      </rPr>
      <t>pp,max</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I,fPP_PAO</t>
    </r>
    <r>
      <rPr>
        <sz val="12"/>
        <color indexed="8"/>
        <rFont val="Arial"/>
        <family val="2"/>
      </rPr>
      <t>+(</t>
    </r>
    <r>
      <rPr>
        <i/>
        <sz val="12"/>
        <color indexed="8"/>
        <rFont val="Arial"/>
        <family val="2"/>
      </rPr>
      <t>f</t>
    </r>
    <r>
      <rPr>
        <vertAlign val="subscript"/>
        <sz val="12"/>
        <color indexed="8"/>
        <rFont val="Arial"/>
        <family val="2"/>
      </rPr>
      <t>PP_PAO,Max</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</si>
  <si>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-(1-</t>
    </r>
    <r>
      <rPr>
        <i/>
        <sz val="12"/>
        <color indexed="8"/>
        <rFont val="Arial"/>
        <family val="2"/>
      </rPr>
      <t>Y</t>
    </r>
    <r>
      <rPr>
        <vertAlign val="subscript"/>
        <sz val="12"/>
        <color indexed="8"/>
        <rFont val="Arial"/>
        <family val="2"/>
      </rPr>
      <t>PAO_Gly,Ox</t>
    </r>
    <r>
      <rPr>
        <sz val="12"/>
        <color indexed="8"/>
        <rFont val="Arial"/>
        <family val="2"/>
      </rPr>
      <t>)/</t>
    </r>
    <r>
      <rPr>
        <i/>
        <sz val="12"/>
        <color indexed="8"/>
        <rFont val="Arial"/>
        <family val="2"/>
      </rPr>
      <t>Y</t>
    </r>
    <r>
      <rPr>
        <vertAlign val="subscript"/>
        <sz val="12"/>
        <color indexed="8"/>
        <rFont val="Arial"/>
        <family val="2"/>
      </rPr>
      <t>PAO_Gly,Ox</t>
    </r>
  </si>
  <si>
    <r>
      <t>i</t>
    </r>
    <r>
      <rPr>
        <vertAlign val="subscript"/>
        <sz val="12"/>
        <color indexed="8"/>
        <rFont val="Arial"/>
        <family val="2"/>
      </rPr>
      <t>N_XBio</t>
    </r>
    <r>
      <rPr>
        <sz val="12"/>
        <color indexed="8"/>
        <rFont val="Arial"/>
        <family val="2"/>
      </rPr>
      <t>/</t>
    </r>
    <r>
      <rPr>
        <i/>
        <sz val="12"/>
        <color indexed="8"/>
        <rFont val="Arial"/>
        <family val="2"/>
      </rPr>
      <t>Y</t>
    </r>
    <r>
      <rPr>
        <vertAlign val="subscript"/>
        <sz val="12"/>
        <color indexed="8"/>
        <rFont val="Arial"/>
        <family val="2"/>
      </rPr>
      <t>PAO_Gly,Ox</t>
    </r>
  </si>
  <si>
    <r>
      <t>i</t>
    </r>
    <r>
      <rPr>
        <vertAlign val="subscript"/>
        <sz val="12"/>
        <color indexed="8"/>
        <rFont val="Arial"/>
        <family val="2"/>
      </rPr>
      <t>P_XBio</t>
    </r>
    <r>
      <rPr>
        <sz val="12"/>
        <color indexed="8"/>
        <rFont val="Arial"/>
        <family val="2"/>
      </rPr>
      <t>/</t>
    </r>
    <r>
      <rPr>
        <i/>
        <sz val="12"/>
        <color indexed="8"/>
        <rFont val="Arial"/>
        <family val="2"/>
      </rPr>
      <t>Y</t>
    </r>
    <r>
      <rPr>
        <vertAlign val="subscript"/>
        <sz val="12"/>
        <color indexed="8"/>
        <rFont val="Arial"/>
        <family val="2"/>
      </rPr>
      <t>PAO_Gly,Ox</t>
    </r>
  </si>
  <si>
    <r>
      <t>v</t>
    </r>
    <r>
      <rPr>
        <vertAlign val="subscript"/>
        <sz val="12"/>
        <color indexed="8"/>
        <rFont val="Arial"/>
        <family val="2"/>
      </rPr>
      <t>19_SNHx</t>
    </r>
    <r>
      <rPr>
        <sz val="12"/>
        <color indexed="8"/>
        <rFont val="Arial"/>
        <family val="2"/>
      </rPr>
      <t>*</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19_SPO4</t>
    </r>
    <r>
      <rPr>
        <sz val="12"/>
        <color indexed="8"/>
        <rFont val="Arial"/>
        <family val="2"/>
      </rPr>
      <t>*</t>
    </r>
    <r>
      <rPr>
        <i/>
        <sz val="12"/>
        <color indexed="8"/>
        <rFont val="Arial"/>
        <family val="2"/>
      </rPr>
      <t>i</t>
    </r>
    <r>
      <rPr>
        <vertAlign val="subscript"/>
        <sz val="12"/>
        <color indexed="8"/>
        <rFont val="Arial"/>
        <family val="2"/>
      </rPr>
      <t>Charge_PO4</t>
    </r>
  </si>
  <si>
    <r>
      <t>-1/</t>
    </r>
    <r>
      <rPr>
        <i/>
        <sz val="12"/>
        <color indexed="8"/>
        <rFont val="Arial"/>
        <family val="2"/>
      </rPr>
      <t>Y</t>
    </r>
    <r>
      <rPr>
        <vertAlign val="subscript"/>
        <sz val="12"/>
        <color indexed="8"/>
        <rFont val="Arial"/>
        <family val="2"/>
      </rPr>
      <t>PAO_Gly,Ox</t>
    </r>
  </si>
  <si>
    <r>
      <t>-</t>
    </r>
    <r>
      <rPr>
        <i/>
        <sz val="12"/>
        <color indexed="8"/>
        <rFont val="Arial"/>
        <family val="2"/>
      </rPr>
      <t>i</t>
    </r>
    <r>
      <rPr>
        <vertAlign val="subscript"/>
        <sz val="12"/>
        <color indexed="8"/>
        <rFont val="Arial"/>
        <family val="2"/>
      </rPr>
      <t>TSS_XBio</t>
    </r>
    <r>
      <rPr>
        <sz val="12"/>
        <color indexed="8"/>
        <rFont val="Arial"/>
        <family val="2"/>
      </rPr>
      <t>/</t>
    </r>
    <r>
      <rPr>
        <i/>
        <sz val="12"/>
        <color indexed="8"/>
        <rFont val="Arial"/>
        <family val="2"/>
      </rPr>
      <t>Y</t>
    </r>
    <r>
      <rPr>
        <vertAlign val="subscript"/>
        <sz val="12"/>
        <color indexed="8"/>
        <rFont val="Arial"/>
        <family val="2"/>
      </rPr>
      <t>PAO_Gly,Ox</t>
    </r>
    <r>
      <rPr>
        <sz val="12"/>
        <color indexed="8"/>
        <rFont val="Arial"/>
        <family val="2"/>
      </rPr>
      <t>+</t>
    </r>
    <r>
      <rPr>
        <i/>
        <sz val="12"/>
        <color indexed="8"/>
        <rFont val="Arial"/>
        <family val="2"/>
      </rPr>
      <t>i</t>
    </r>
    <r>
      <rPr>
        <vertAlign val="subscript"/>
        <sz val="12"/>
        <color indexed="8"/>
        <rFont val="Arial"/>
        <family val="2"/>
      </rPr>
      <t>TSS_XPAO,Gly</t>
    </r>
  </si>
  <si>
    <r>
      <t>q</t>
    </r>
    <r>
      <rPr>
        <vertAlign val="subscript"/>
        <sz val="12"/>
        <color indexed="8"/>
        <rFont val="Arial"/>
        <family val="2"/>
      </rPr>
      <t>Gly</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PAO,Gly</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K</t>
    </r>
    <r>
      <rPr>
        <vertAlign val="subscript"/>
        <sz val="12"/>
        <color indexed="8"/>
        <rFont val="Arial"/>
        <family val="2"/>
      </rPr>
      <t>PHA,PAO</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f</t>
    </r>
    <r>
      <rPr>
        <vertAlign val="subscript"/>
        <sz val="12"/>
        <color indexed="8"/>
        <rFont val="Arial"/>
        <family val="2"/>
      </rPr>
      <t>Gly_PAO,Max</t>
    </r>
    <r>
      <rPr>
        <sz val="12"/>
        <color indexed="8"/>
        <rFont val="Arial"/>
        <family val="2"/>
      </rPr>
      <t>-(</t>
    </r>
    <r>
      <rPr>
        <i/>
        <sz val="12"/>
        <color indexed="8"/>
        <rFont val="Arial"/>
        <family val="2"/>
      </rPr>
      <t>X</t>
    </r>
    <r>
      <rPr>
        <vertAlign val="subscript"/>
        <sz val="12"/>
        <color indexed="8"/>
        <rFont val="Arial"/>
        <family val="2"/>
      </rPr>
      <t>PAO,Gly</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fGly_PAO</t>
    </r>
    <r>
      <rPr>
        <sz val="12"/>
        <color indexed="8"/>
        <rFont val="Arial"/>
        <family val="2"/>
      </rPr>
      <t>+(</t>
    </r>
    <r>
      <rPr>
        <i/>
        <sz val="12"/>
        <color indexed="8"/>
        <rFont val="Arial"/>
        <family val="2"/>
      </rPr>
      <t>f</t>
    </r>
    <r>
      <rPr>
        <vertAlign val="subscript"/>
        <sz val="12"/>
        <color indexed="8"/>
        <rFont val="Arial"/>
        <family val="2"/>
      </rPr>
      <t>Gly_PAO,Max</t>
    </r>
    <r>
      <rPr>
        <sz val="12"/>
        <color indexed="8"/>
        <rFont val="Arial"/>
        <family val="2"/>
      </rPr>
      <t>-</t>
    </r>
    <r>
      <rPr>
        <i/>
        <sz val="12"/>
        <color indexed="8"/>
        <rFont val="Arial"/>
        <family val="2"/>
      </rPr>
      <t>X</t>
    </r>
    <r>
      <rPr>
        <vertAlign val="subscript"/>
        <sz val="12"/>
        <color indexed="8"/>
        <rFont val="Arial"/>
        <family val="2"/>
      </rPr>
      <t>PAO,Gly</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</si>
  <si>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v</t>
    </r>
    <r>
      <rPr>
        <vertAlign val="subscript"/>
        <sz val="12"/>
        <color indexed="8"/>
        <rFont val="Arial"/>
        <family val="2"/>
      </rPr>
      <t>20_SNHx</t>
    </r>
    <r>
      <rPr>
        <sz val="12"/>
        <color indexed="8"/>
        <rFont val="Arial"/>
        <family val="2"/>
      </rPr>
      <t>*</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20_SPO4</t>
    </r>
    <r>
      <rPr>
        <sz val="12"/>
        <color indexed="8"/>
        <rFont val="Arial"/>
        <family val="2"/>
      </rPr>
      <t>*</t>
    </r>
    <r>
      <rPr>
        <i/>
        <sz val="12"/>
        <color indexed="8"/>
        <rFont val="Arial"/>
        <family val="2"/>
      </rPr>
      <t>i</t>
    </r>
    <r>
      <rPr>
        <vertAlign val="subscript"/>
        <sz val="12"/>
        <color indexed="8"/>
        <rFont val="Arial"/>
        <family val="2"/>
      </rPr>
      <t>Charge_PO4</t>
    </r>
  </si>
  <si>
    <r>
      <t>m</t>
    </r>
    <r>
      <rPr>
        <vertAlign val="subscript"/>
        <sz val="12"/>
        <color indexed="8"/>
        <rFont val="Arial"/>
        <family val="2"/>
      </rPr>
      <t>PAO,Ox</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X</t>
    </r>
    <r>
      <rPr>
        <vertAlign val="subscript"/>
        <sz val="12"/>
        <color indexed="8"/>
        <rFont val="Arial"/>
        <family val="2"/>
      </rPr>
      <t>PAO</t>
    </r>
  </si>
  <si>
    <r>
      <t>Aerobic growth of X</t>
    </r>
    <r>
      <rPr>
        <b/>
        <vertAlign val="subscript"/>
        <sz val="12"/>
        <color indexed="8"/>
        <rFont val="Arial"/>
        <family val="2"/>
      </rPr>
      <t>ANO</t>
    </r>
  </si>
  <si>
    <r>
      <t>-(-</t>
    </r>
    <r>
      <rPr>
        <i/>
        <sz val="12"/>
        <color indexed="8"/>
        <rFont val="Arial"/>
        <family val="2"/>
      </rPr>
      <t>i</t>
    </r>
    <r>
      <rPr>
        <vertAlign val="subscript"/>
        <sz val="12"/>
        <color indexed="8"/>
        <rFont val="Arial"/>
        <family val="2"/>
      </rPr>
      <t>COD_NOx</t>
    </r>
    <r>
      <rPr>
        <sz val="12"/>
        <color indexed="8"/>
        <rFont val="Arial"/>
        <family val="2"/>
      </rPr>
      <t>-</t>
    </r>
    <r>
      <rPr>
        <i/>
        <sz val="12"/>
        <color indexed="8"/>
        <rFont val="Arial"/>
        <family val="2"/>
      </rPr>
      <t>Y</t>
    </r>
    <r>
      <rPr>
        <vertAlign val="subscript"/>
        <sz val="12"/>
        <color indexed="8"/>
        <rFont val="Arial"/>
        <family val="2"/>
      </rPr>
      <t>ANO</t>
    </r>
    <r>
      <rPr>
        <sz val="12"/>
        <color indexed="8"/>
        <rFont val="Arial"/>
        <family val="2"/>
      </rPr>
      <t>)/</t>
    </r>
    <r>
      <rPr>
        <i/>
        <sz val="12"/>
        <color indexed="8"/>
        <rFont val="Arial"/>
        <family val="2"/>
      </rPr>
      <t>Y</t>
    </r>
    <r>
      <rPr>
        <vertAlign val="subscript"/>
        <sz val="12"/>
        <color indexed="8"/>
        <rFont val="Arial"/>
        <family val="2"/>
      </rPr>
      <t>ANO</t>
    </r>
  </si>
  <si>
    <r>
      <t>-</t>
    </r>
    <r>
      <rPr>
        <i/>
        <sz val="12"/>
        <color indexed="8"/>
        <rFont val="Arial"/>
        <family val="2"/>
      </rPr>
      <t>i</t>
    </r>
    <r>
      <rPr>
        <vertAlign val="subscript"/>
        <sz val="12"/>
        <color indexed="8"/>
        <rFont val="Arial"/>
        <family val="2"/>
      </rPr>
      <t>N_XBio</t>
    </r>
    <r>
      <rPr>
        <sz val="12"/>
        <color indexed="8"/>
        <rFont val="Arial"/>
        <family val="2"/>
      </rPr>
      <t>-1/</t>
    </r>
    <r>
      <rPr>
        <i/>
        <sz val="12"/>
        <color indexed="8"/>
        <rFont val="Arial"/>
        <family val="2"/>
      </rPr>
      <t>Y</t>
    </r>
    <r>
      <rPr>
        <vertAlign val="subscript"/>
        <sz val="12"/>
        <color indexed="8"/>
        <rFont val="Arial"/>
        <family val="2"/>
      </rPr>
      <t>ANO</t>
    </r>
  </si>
  <si>
    <r>
      <t>v</t>
    </r>
    <r>
      <rPr>
        <vertAlign val="subscript"/>
        <sz val="12"/>
        <color indexed="8"/>
        <rFont val="Arial"/>
        <family val="2"/>
      </rPr>
      <t>21_SNHx</t>
    </r>
    <r>
      <rPr>
        <sz val="12"/>
        <color indexed="8"/>
        <rFont val="Arial"/>
        <family val="2"/>
      </rPr>
      <t>*</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21_SPO4</t>
    </r>
    <r>
      <rPr>
        <sz val="12"/>
        <color indexed="8"/>
        <rFont val="Arial"/>
        <family val="2"/>
      </rPr>
      <t>*</t>
    </r>
    <r>
      <rPr>
        <i/>
        <sz val="12"/>
        <color indexed="8"/>
        <rFont val="Arial"/>
        <family val="2"/>
      </rPr>
      <t>i</t>
    </r>
    <r>
      <rPr>
        <vertAlign val="subscript"/>
        <sz val="12"/>
        <color indexed="8"/>
        <rFont val="Arial"/>
        <family val="2"/>
      </rPr>
      <t>Charge_PO4</t>
    </r>
    <r>
      <rPr>
        <sz val="12"/>
        <color indexed="8"/>
        <rFont val="Arial"/>
        <family val="2"/>
      </rPr>
      <t>+</t>
    </r>
    <r>
      <rPr>
        <i/>
        <sz val="12"/>
        <color indexed="8"/>
        <rFont val="Arial"/>
        <family val="2"/>
      </rPr>
      <t>v</t>
    </r>
    <r>
      <rPr>
        <vertAlign val="subscript"/>
        <sz val="12"/>
        <color indexed="8"/>
        <rFont val="Arial"/>
        <family val="2"/>
      </rPr>
      <t>21_SNOx</t>
    </r>
    <r>
      <rPr>
        <sz val="12"/>
        <color indexed="8"/>
        <rFont val="Arial"/>
        <family val="2"/>
      </rPr>
      <t>*</t>
    </r>
    <r>
      <rPr>
        <i/>
        <sz val="12"/>
        <color indexed="8"/>
        <rFont val="Arial"/>
        <family val="2"/>
      </rPr>
      <t>i</t>
    </r>
    <r>
      <rPr>
        <vertAlign val="subscript"/>
        <sz val="12"/>
        <color indexed="8"/>
        <rFont val="Arial"/>
        <family val="2"/>
      </rPr>
      <t>Charge_NOx</t>
    </r>
  </si>
  <si>
    <r>
      <t>i</t>
    </r>
    <r>
      <rPr>
        <vertAlign val="subscript"/>
        <sz val="12"/>
        <color indexed="57"/>
        <rFont val="Arial"/>
        <family val="2"/>
      </rPr>
      <t>TSS_XBio</t>
    </r>
  </si>
  <si>
    <r>
      <t>μ</t>
    </r>
    <r>
      <rPr>
        <vertAlign val="subscript"/>
        <sz val="12"/>
        <color indexed="8"/>
        <rFont val="Arial"/>
        <family val="2"/>
      </rPr>
      <t>ANO,Max</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O2,ANO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NHx,ANO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PO4,ANO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K</t>
    </r>
    <r>
      <rPr>
        <vertAlign val="subscript"/>
        <sz val="12"/>
        <color indexed="8"/>
        <rFont val="Arial"/>
        <family val="2"/>
      </rPr>
      <t>Alk,ANO</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X</t>
    </r>
    <r>
      <rPr>
        <vertAlign val="subscript"/>
        <sz val="12"/>
        <color indexed="8"/>
        <rFont val="Arial"/>
        <family val="2"/>
      </rPr>
      <t>ANO</t>
    </r>
  </si>
  <si>
    <r>
      <t>Conversion factor for S</t>
    </r>
    <r>
      <rPr>
        <vertAlign val="subscript"/>
        <sz val="10"/>
        <color indexed="8"/>
        <rFont val="Arial"/>
        <family val="2"/>
      </rPr>
      <t>Ac</t>
    </r>
    <r>
      <rPr>
        <sz val="10"/>
        <color indexed="8"/>
        <rFont val="Arial"/>
        <family val="2"/>
      </rPr>
      <t xml:space="preserve"> (CH</t>
    </r>
    <r>
      <rPr>
        <vertAlign val="subscript"/>
        <sz val="10"/>
        <color indexed="8"/>
        <rFont val="Arial"/>
        <family val="2"/>
      </rPr>
      <t>3</t>
    </r>
    <r>
      <rPr>
        <sz val="10"/>
        <color indexed="8"/>
        <rFont val="Arial"/>
        <family val="2"/>
      </rPr>
      <t>COO</t>
    </r>
    <r>
      <rPr>
        <vertAlign val="superscript"/>
        <sz val="10"/>
        <color indexed="8"/>
        <rFont val="Arial"/>
        <family val="2"/>
      </rPr>
      <t>-</t>
    </r>
    <r>
      <rPr>
        <sz val="10"/>
        <color indexed="8"/>
        <rFont val="Arial"/>
        <family val="2"/>
      </rPr>
      <t>)in charge</t>
    </r>
  </si>
  <si>
    <r>
      <t>i</t>
    </r>
    <r>
      <rPr>
        <vertAlign val="subscript"/>
        <sz val="12"/>
        <color indexed="8"/>
        <rFont val="Arial"/>
        <family val="2"/>
      </rPr>
      <t>N_XBio</t>
    </r>
    <r>
      <rPr>
        <sz val="12"/>
        <color indexed="8"/>
        <rFont val="Arial"/>
        <family val="2"/>
      </rPr>
      <t>-</t>
    </r>
    <r>
      <rPr>
        <i/>
        <sz val="12"/>
        <color indexed="8"/>
        <rFont val="Arial"/>
        <family val="2"/>
      </rPr>
      <t>i</t>
    </r>
    <r>
      <rPr>
        <vertAlign val="subscript"/>
        <sz val="12"/>
        <color indexed="8"/>
        <rFont val="Arial"/>
        <family val="2"/>
      </rPr>
      <t>N_XU</t>
    </r>
    <r>
      <rPr>
        <sz val="12"/>
        <color indexed="8"/>
        <rFont val="Arial"/>
        <family val="2"/>
      </rPr>
      <t>*</t>
    </r>
    <r>
      <rPr>
        <i/>
        <sz val="12"/>
        <color indexed="8"/>
        <rFont val="Arial"/>
        <family val="2"/>
      </rPr>
      <t>f</t>
    </r>
    <r>
      <rPr>
        <vertAlign val="subscript"/>
        <sz val="12"/>
        <color indexed="8"/>
        <rFont val="Arial"/>
        <family val="2"/>
      </rPr>
      <t>XU_ANO,lys</t>
    </r>
    <r>
      <rPr>
        <sz val="12"/>
        <color indexed="8"/>
        <rFont val="Arial"/>
        <family val="2"/>
      </rPr>
      <t>-</t>
    </r>
    <r>
      <rPr>
        <i/>
        <sz val="12"/>
        <color indexed="8"/>
        <rFont val="Arial"/>
        <family val="2"/>
      </rPr>
      <t>i</t>
    </r>
    <r>
      <rPr>
        <vertAlign val="subscript"/>
        <sz val="12"/>
        <color indexed="8"/>
        <rFont val="Arial"/>
        <family val="2"/>
      </rPr>
      <t>N_XCB</t>
    </r>
    <r>
      <rPr>
        <sz val="12"/>
        <color indexed="8"/>
        <rFont val="Arial"/>
        <family val="2"/>
      </rPr>
      <t>*(1-</t>
    </r>
    <r>
      <rPr>
        <i/>
        <sz val="12"/>
        <color indexed="8"/>
        <rFont val="Arial"/>
        <family val="2"/>
      </rPr>
      <t>f</t>
    </r>
    <r>
      <rPr>
        <vertAlign val="subscript"/>
        <sz val="12"/>
        <color indexed="8"/>
        <rFont val="Arial"/>
        <family val="2"/>
      </rPr>
      <t>XU_ANO,lys</t>
    </r>
    <r>
      <rPr>
        <sz val="12"/>
        <color indexed="8"/>
        <rFont val="Arial"/>
        <family val="2"/>
      </rPr>
      <t>)</t>
    </r>
  </si>
  <si>
    <r>
      <t>i</t>
    </r>
    <r>
      <rPr>
        <vertAlign val="subscript"/>
        <sz val="12"/>
        <color indexed="8"/>
        <rFont val="Arial"/>
        <family val="2"/>
      </rPr>
      <t>P_XBio</t>
    </r>
    <r>
      <rPr>
        <sz val="12"/>
        <color indexed="8"/>
        <rFont val="Arial"/>
        <family val="2"/>
      </rPr>
      <t>-</t>
    </r>
    <r>
      <rPr>
        <i/>
        <sz val="12"/>
        <color indexed="8"/>
        <rFont val="Arial"/>
        <family val="2"/>
      </rPr>
      <t>i</t>
    </r>
    <r>
      <rPr>
        <vertAlign val="subscript"/>
        <sz val="12"/>
        <color indexed="8"/>
        <rFont val="Arial"/>
        <family val="2"/>
      </rPr>
      <t>P_XU</t>
    </r>
    <r>
      <rPr>
        <sz val="12"/>
        <color indexed="8"/>
        <rFont val="Arial"/>
        <family val="2"/>
      </rPr>
      <t>*</t>
    </r>
    <r>
      <rPr>
        <i/>
        <sz val="12"/>
        <color indexed="8"/>
        <rFont val="Arial"/>
        <family val="2"/>
      </rPr>
      <t>f</t>
    </r>
    <r>
      <rPr>
        <vertAlign val="subscript"/>
        <sz val="12"/>
        <color indexed="8"/>
        <rFont val="Arial"/>
        <family val="2"/>
      </rPr>
      <t>XU_ANO,lys</t>
    </r>
    <r>
      <rPr>
        <sz val="12"/>
        <color indexed="8"/>
        <rFont val="Arial"/>
        <family val="2"/>
      </rPr>
      <t>-</t>
    </r>
    <r>
      <rPr>
        <i/>
        <sz val="12"/>
        <color indexed="8"/>
        <rFont val="Arial"/>
        <family val="2"/>
      </rPr>
      <t>i</t>
    </r>
    <r>
      <rPr>
        <vertAlign val="subscript"/>
        <sz val="12"/>
        <color indexed="8"/>
        <rFont val="Arial"/>
        <family val="2"/>
      </rPr>
      <t>P_XCB</t>
    </r>
    <r>
      <rPr>
        <sz val="12"/>
        <color indexed="8"/>
        <rFont val="Arial"/>
        <family val="2"/>
      </rPr>
      <t>*(1-</t>
    </r>
    <r>
      <rPr>
        <i/>
        <sz val="12"/>
        <color indexed="8"/>
        <rFont val="Arial"/>
        <family val="2"/>
      </rPr>
      <t>f</t>
    </r>
    <r>
      <rPr>
        <vertAlign val="subscript"/>
        <sz val="12"/>
        <color indexed="8"/>
        <rFont val="Arial"/>
        <family val="2"/>
      </rPr>
      <t>XU_ANO,lys</t>
    </r>
    <r>
      <rPr>
        <sz val="12"/>
        <color indexed="8"/>
        <rFont val="Arial"/>
        <family val="2"/>
      </rPr>
      <t>)</t>
    </r>
  </si>
  <si>
    <r>
      <t>v</t>
    </r>
    <r>
      <rPr>
        <vertAlign val="subscript"/>
        <sz val="12"/>
        <color indexed="8"/>
        <rFont val="Arial"/>
        <family val="2"/>
      </rPr>
      <t>22_SNHx</t>
    </r>
    <r>
      <rPr>
        <sz val="12"/>
        <color indexed="8"/>
        <rFont val="Arial"/>
        <family val="2"/>
      </rPr>
      <t>*</t>
    </r>
    <r>
      <rPr>
        <i/>
        <sz val="12"/>
        <color indexed="8"/>
        <rFont val="Arial"/>
        <family val="2"/>
      </rP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22_SPO4</t>
    </r>
    <r>
      <rPr>
        <sz val="12"/>
        <color indexed="8"/>
        <rFont val="Arial"/>
        <family val="2"/>
      </rPr>
      <t>*</t>
    </r>
    <r>
      <rPr>
        <i/>
        <sz val="12"/>
        <color indexed="8"/>
        <rFont val="Arial"/>
        <family val="2"/>
      </rPr>
      <t>i</t>
    </r>
    <r>
      <rPr>
        <vertAlign val="subscript"/>
        <sz val="12"/>
        <color indexed="8"/>
        <rFont val="Arial"/>
        <family val="2"/>
      </rPr>
      <t>Charge_PO4</t>
    </r>
  </si>
  <si>
    <r>
      <t>1-</t>
    </r>
    <r>
      <rPr>
        <i/>
        <sz val="12"/>
        <color indexed="8"/>
        <rFont val="Arial"/>
        <family val="2"/>
      </rPr>
      <t>f</t>
    </r>
    <r>
      <rPr>
        <vertAlign val="subscript"/>
        <sz val="12"/>
        <color indexed="8"/>
        <rFont val="Arial"/>
        <family val="2"/>
      </rPr>
      <t>XU_ANO,lys</t>
    </r>
  </si>
  <si>
    <r>
      <t>i</t>
    </r>
    <r>
      <rPr>
        <vertAlign val="subscript"/>
        <sz val="12"/>
        <color indexed="8"/>
        <rFont val="Arial"/>
        <family val="2"/>
      </rPr>
      <t>TSS_XU</t>
    </r>
    <r>
      <rPr>
        <sz val="12"/>
        <color indexed="8"/>
        <rFont val="Arial"/>
        <family val="2"/>
      </rPr>
      <t>*</t>
    </r>
    <r>
      <rPr>
        <i/>
        <sz val="12"/>
        <color indexed="8"/>
        <rFont val="Arial"/>
        <family val="2"/>
      </rPr>
      <t>f</t>
    </r>
    <r>
      <rPr>
        <vertAlign val="subscript"/>
        <sz val="12"/>
        <color indexed="8"/>
        <rFont val="Arial"/>
        <family val="2"/>
      </rPr>
      <t>XU_ANO,lys</t>
    </r>
    <r>
      <rPr>
        <sz val="12"/>
        <color indexed="8"/>
        <rFont val="Arial"/>
        <family val="2"/>
      </rPr>
      <t>+</t>
    </r>
    <r>
      <rPr>
        <i/>
        <sz val="12"/>
        <color indexed="8"/>
        <rFont val="Arial"/>
        <family val="2"/>
      </rPr>
      <t>i</t>
    </r>
    <r>
      <rPr>
        <vertAlign val="subscript"/>
        <sz val="12"/>
        <color indexed="8"/>
        <rFont val="Arial"/>
        <family val="2"/>
      </rPr>
      <t>TSS_XCB</t>
    </r>
    <r>
      <rPr>
        <sz val="12"/>
        <color indexed="8"/>
        <rFont val="Arial"/>
        <family val="2"/>
      </rPr>
      <t>*(1-</t>
    </r>
    <r>
      <rPr>
        <i/>
        <sz val="12"/>
        <color indexed="8"/>
        <rFont val="Arial"/>
        <family val="2"/>
      </rPr>
      <t>f</t>
    </r>
    <r>
      <rPr>
        <vertAlign val="subscript"/>
        <sz val="12"/>
        <color indexed="8"/>
        <rFont val="Arial"/>
        <family val="2"/>
      </rPr>
      <t>XU_ANO,lys</t>
    </r>
    <r>
      <rPr>
        <sz val="12"/>
        <color indexed="8"/>
        <rFont val="Arial"/>
        <family val="2"/>
      </rPr>
      <t>)-</t>
    </r>
    <r>
      <rPr>
        <i/>
        <sz val="12"/>
        <color indexed="8"/>
        <rFont val="Arial"/>
        <family val="2"/>
      </rPr>
      <t>i</t>
    </r>
    <r>
      <rPr>
        <vertAlign val="subscript"/>
        <sz val="12"/>
        <color indexed="8"/>
        <rFont val="Arial"/>
        <family val="2"/>
      </rPr>
      <t>TSS_XBio</t>
    </r>
  </si>
  <si>
    <r>
      <t>η</t>
    </r>
    <r>
      <rPr>
        <vertAlign val="subscript"/>
        <sz val="12"/>
        <color indexed="57"/>
        <rFont val="Arial"/>
        <family val="2"/>
      </rPr>
      <t>NO,HYD</t>
    </r>
  </si>
  <si>
    <r>
      <t>K</t>
    </r>
    <r>
      <rPr>
        <vertAlign val="subscript"/>
        <sz val="12"/>
        <color indexed="57"/>
        <rFont val="Arial"/>
        <family val="2"/>
      </rPr>
      <t>O,HYD</t>
    </r>
  </si>
  <si>
    <r>
      <t>K</t>
    </r>
    <r>
      <rPr>
        <vertAlign val="subscript"/>
        <sz val="12"/>
        <color indexed="57"/>
        <rFont val="Arial"/>
        <family val="2"/>
      </rPr>
      <t>NO,HYD</t>
    </r>
  </si>
  <si>
    <r>
      <t>η</t>
    </r>
    <r>
      <rPr>
        <vertAlign val="subscript"/>
        <sz val="12"/>
        <color indexed="57"/>
        <rFont val="Arial"/>
        <family val="2"/>
      </rPr>
      <t>NO,H</t>
    </r>
  </si>
  <si>
    <r>
      <t>K</t>
    </r>
    <r>
      <rPr>
        <vertAlign val="subscript"/>
        <sz val="12"/>
        <color indexed="57"/>
        <rFont val="Arial"/>
        <family val="2"/>
      </rPr>
      <t>O,H</t>
    </r>
  </si>
  <si>
    <r>
      <t>K</t>
    </r>
    <r>
      <rPr>
        <vertAlign val="subscript"/>
        <sz val="12"/>
        <color indexed="57"/>
        <rFont val="Arial"/>
        <family val="2"/>
      </rPr>
      <t>NO,H</t>
    </r>
  </si>
  <si>
    <r>
      <t>K</t>
    </r>
    <r>
      <rPr>
        <vertAlign val="subscript"/>
        <sz val="12"/>
        <color indexed="57"/>
        <rFont val="Arial"/>
        <family val="2"/>
      </rPr>
      <t>N,H</t>
    </r>
  </si>
  <si>
    <r>
      <t>K</t>
    </r>
    <r>
      <rPr>
        <vertAlign val="subscript"/>
        <sz val="12"/>
        <color indexed="57"/>
        <rFont val="Arial"/>
        <family val="2"/>
      </rPr>
      <t>HCO,H</t>
    </r>
  </si>
  <si>
    <r>
      <t>Rate constant for S</t>
    </r>
    <r>
      <rPr>
        <vertAlign val="subscript"/>
        <sz val="10"/>
        <rFont val="Arial"/>
        <family val="2"/>
      </rPr>
      <t>Ac</t>
    </r>
    <r>
      <rPr>
        <sz val="10"/>
        <rFont val="Arial"/>
        <family val="2"/>
      </rPr>
      <t xml:space="preserve">  uptake rate (X</t>
    </r>
    <r>
      <rPr>
        <vertAlign val="subscript"/>
        <sz val="10"/>
        <rFont val="Arial"/>
        <family val="2"/>
      </rPr>
      <t>PAO,PHA</t>
    </r>
    <r>
      <rPr>
        <sz val="10"/>
        <rFont val="Arial"/>
        <family val="2"/>
      </rPr>
      <t xml:space="preserve"> storage) (anaerobic)</t>
    </r>
  </si>
  <si>
    <r>
      <t>Rate constant for S</t>
    </r>
    <r>
      <rPr>
        <vertAlign val="subscript"/>
        <sz val="10"/>
        <rFont val="Arial"/>
        <family val="2"/>
      </rPr>
      <t>Ac</t>
    </r>
    <r>
      <rPr>
        <sz val="10"/>
        <rFont val="Arial"/>
        <family val="2"/>
      </rPr>
      <t xml:space="preserve">  uptake rate (X</t>
    </r>
    <r>
      <rPr>
        <vertAlign val="subscript"/>
        <sz val="10"/>
        <rFont val="Arial"/>
        <family val="2"/>
      </rPr>
      <t>PAO,PHA</t>
    </r>
    <r>
      <rPr>
        <sz val="10"/>
        <rFont val="Arial"/>
        <family val="2"/>
      </rPr>
      <t xml:space="preserve"> storage) (anoxic)</t>
    </r>
  </si>
  <si>
    <r>
      <t>Reduction factor for K</t>
    </r>
    <r>
      <rPr>
        <vertAlign val="subscript"/>
        <sz val="10"/>
        <rFont val="Arial"/>
        <family val="2"/>
      </rPr>
      <t>O2</t>
    </r>
    <r>
      <rPr>
        <sz val="10"/>
        <rFont val="Arial"/>
        <family val="2"/>
      </rPr>
      <t xml:space="preserve"> for X</t>
    </r>
    <r>
      <rPr>
        <vertAlign val="subscript"/>
        <sz val="10"/>
        <rFont val="Arial"/>
        <family val="2"/>
      </rPr>
      <t>PAO,PP</t>
    </r>
    <r>
      <rPr>
        <sz val="10"/>
        <rFont val="Arial"/>
        <family val="2"/>
      </rPr>
      <t xml:space="preserve"> formation</t>
    </r>
  </si>
  <si>
    <r>
      <t>Reduction factor for K</t>
    </r>
    <r>
      <rPr>
        <vertAlign val="subscript"/>
        <sz val="10"/>
        <rFont val="Arial"/>
        <family val="2"/>
      </rPr>
      <t>NOx</t>
    </r>
    <r>
      <rPr>
        <sz val="10"/>
        <rFont val="Arial"/>
        <family val="2"/>
      </rPr>
      <t xml:space="preserve"> for X</t>
    </r>
    <r>
      <rPr>
        <vertAlign val="subscript"/>
        <sz val="10"/>
        <rFont val="Arial"/>
        <family val="2"/>
      </rPr>
      <t>PAO,PP</t>
    </r>
    <r>
      <rPr>
        <sz val="10"/>
        <rFont val="Arial"/>
        <family val="2"/>
      </rPr>
      <t xml:space="preserve"> formation</t>
    </r>
  </si>
  <si>
    <r>
      <t>Rate constant for formation of X</t>
    </r>
    <r>
      <rPr>
        <vertAlign val="subscript"/>
        <sz val="10"/>
        <rFont val="Arial"/>
        <family val="2"/>
      </rPr>
      <t>PAO,Gly</t>
    </r>
  </si>
  <si>
    <r>
      <t>g X</t>
    </r>
    <r>
      <rPr>
        <vertAlign val="subscript"/>
        <sz val="8"/>
        <rFont val="Arial"/>
        <family val="2"/>
      </rPr>
      <t>Gly</t>
    </r>
    <r>
      <rPr>
        <sz val="8"/>
        <rFont val="Arial"/>
        <family val="2"/>
      </rPr>
      <t>.g X</t>
    </r>
    <r>
      <rPr>
        <vertAlign val="subscript"/>
        <sz val="8"/>
        <rFont val="Arial"/>
        <family val="2"/>
      </rPr>
      <t>PAO</t>
    </r>
    <r>
      <rPr>
        <vertAlign val="superscript"/>
        <sz val="8"/>
        <rFont val="Arial"/>
        <family val="2"/>
      </rPr>
      <t>-1</t>
    </r>
    <r>
      <rPr>
        <sz val="8"/>
        <rFont val="Arial"/>
        <family val="2"/>
      </rPr>
      <t>.d</t>
    </r>
    <r>
      <rPr>
        <vertAlign val="superscript"/>
        <sz val="10"/>
        <rFont val="Arial"/>
        <family val="2"/>
      </rPr>
      <t>-1</t>
    </r>
  </si>
  <si>
    <r>
      <t>Maximum ratio of X</t>
    </r>
    <r>
      <rPr>
        <vertAlign val="subscript"/>
        <sz val="10"/>
        <rFont val="Arial"/>
        <family val="2"/>
      </rPr>
      <t>PAO,Gly</t>
    </r>
    <r>
      <rPr>
        <sz val="10"/>
        <rFont val="Arial"/>
        <family val="2"/>
      </rPr>
      <t>/X</t>
    </r>
    <r>
      <rPr>
        <vertAlign val="subscript"/>
        <sz val="10"/>
        <rFont val="Arial"/>
        <family val="2"/>
      </rPr>
      <t>PAO</t>
    </r>
  </si>
  <si>
    <r>
      <t>S</t>
    </r>
    <r>
      <rPr>
        <b/>
        <vertAlign val="subscript"/>
        <sz val="14"/>
        <color indexed="8"/>
        <rFont val="Arial"/>
        <family val="2"/>
      </rPr>
      <t>O2</t>
    </r>
  </si>
  <si>
    <r>
      <t>S</t>
    </r>
    <r>
      <rPr>
        <b/>
        <vertAlign val="subscript"/>
        <sz val="14"/>
        <color indexed="8"/>
        <rFont val="Arial"/>
        <family val="2"/>
      </rPr>
      <t>F</t>
    </r>
  </si>
  <si>
    <r>
      <t>S</t>
    </r>
    <r>
      <rPr>
        <b/>
        <vertAlign val="subscript"/>
        <sz val="14"/>
        <color indexed="8"/>
        <rFont val="Arial"/>
        <family val="2"/>
      </rPr>
      <t>A</t>
    </r>
  </si>
  <si>
    <r>
      <t>S</t>
    </r>
    <r>
      <rPr>
        <b/>
        <vertAlign val="subscript"/>
        <sz val="14"/>
        <color indexed="8"/>
        <rFont val="Arial"/>
        <family val="2"/>
      </rPr>
      <t>NH</t>
    </r>
  </si>
  <si>
    <r>
      <t>S</t>
    </r>
    <r>
      <rPr>
        <b/>
        <vertAlign val="subscript"/>
        <sz val="14"/>
        <color indexed="8"/>
        <rFont val="Arial"/>
        <family val="2"/>
      </rPr>
      <t>NO</t>
    </r>
  </si>
  <si>
    <r>
      <t>S</t>
    </r>
    <r>
      <rPr>
        <b/>
        <vertAlign val="subscript"/>
        <sz val="14"/>
        <color indexed="8"/>
        <rFont val="Arial"/>
        <family val="2"/>
      </rPr>
      <t>PO</t>
    </r>
  </si>
  <si>
    <r>
      <t>S</t>
    </r>
    <r>
      <rPr>
        <b/>
        <vertAlign val="subscript"/>
        <sz val="14"/>
        <color indexed="8"/>
        <rFont val="Arial"/>
        <family val="2"/>
      </rPr>
      <t>I</t>
    </r>
  </si>
  <si>
    <r>
      <t>S</t>
    </r>
    <r>
      <rPr>
        <b/>
        <vertAlign val="subscript"/>
        <sz val="14"/>
        <color indexed="8"/>
        <rFont val="Arial"/>
        <family val="2"/>
      </rPr>
      <t>HCO</t>
    </r>
  </si>
  <si>
    <r>
      <t>X</t>
    </r>
    <r>
      <rPr>
        <b/>
        <vertAlign val="subscript"/>
        <sz val="14"/>
        <color indexed="8"/>
        <rFont val="Arial"/>
        <family val="2"/>
      </rPr>
      <t>i</t>
    </r>
  </si>
  <si>
    <r>
      <t>X</t>
    </r>
    <r>
      <rPr>
        <b/>
        <vertAlign val="subscript"/>
        <sz val="14"/>
        <color indexed="8"/>
        <rFont val="Arial"/>
        <family val="2"/>
      </rPr>
      <t>s</t>
    </r>
  </si>
  <si>
    <r>
      <t>X</t>
    </r>
    <r>
      <rPr>
        <b/>
        <vertAlign val="subscript"/>
        <sz val="14"/>
        <color indexed="8"/>
        <rFont val="Arial"/>
        <family val="2"/>
      </rPr>
      <t>H</t>
    </r>
  </si>
  <si>
    <r>
      <t>X</t>
    </r>
    <r>
      <rPr>
        <b/>
        <vertAlign val="subscript"/>
        <sz val="14"/>
        <color indexed="8"/>
        <rFont val="Arial"/>
        <family val="2"/>
      </rPr>
      <t>PAO</t>
    </r>
  </si>
  <si>
    <r>
      <t>X</t>
    </r>
    <r>
      <rPr>
        <b/>
        <vertAlign val="subscript"/>
        <sz val="14"/>
        <color indexed="8"/>
        <rFont val="Arial"/>
        <family val="2"/>
      </rPr>
      <t>PP</t>
    </r>
  </si>
  <si>
    <r>
      <t>X</t>
    </r>
    <r>
      <rPr>
        <b/>
        <vertAlign val="subscript"/>
        <sz val="14"/>
        <color indexed="8"/>
        <rFont val="Arial"/>
        <family val="2"/>
      </rPr>
      <t>PHA</t>
    </r>
  </si>
  <si>
    <r>
      <t>X</t>
    </r>
    <r>
      <rPr>
        <b/>
        <vertAlign val="subscript"/>
        <sz val="14"/>
        <color indexed="8"/>
        <rFont val="Arial"/>
        <family val="2"/>
      </rPr>
      <t>GLY</t>
    </r>
  </si>
  <si>
    <r>
      <t>X</t>
    </r>
    <r>
      <rPr>
        <b/>
        <vertAlign val="subscript"/>
        <sz val="14"/>
        <color indexed="8"/>
        <rFont val="Arial"/>
        <family val="2"/>
      </rPr>
      <t>A</t>
    </r>
  </si>
  <si>
    <r>
      <t>X</t>
    </r>
    <r>
      <rPr>
        <b/>
        <vertAlign val="subscript"/>
        <sz val="14"/>
        <color indexed="8"/>
        <rFont val="Arial"/>
        <family val="2"/>
      </rPr>
      <t>TSS</t>
    </r>
  </si>
  <si>
    <r>
      <t>Saturation constant for X</t>
    </r>
    <r>
      <rPr>
        <vertAlign val="subscript"/>
        <sz val="10"/>
        <rFont val="Arial"/>
        <family val="2"/>
      </rPr>
      <t>PAO,Gly</t>
    </r>
    <r>
      <rPr>
        <sz val="10"/>
        <rFont val="Arial"/>
        <family val="2"/>
      </rPr>
      <t>/X</t>
    </r>
    <r>
      <rPr>
        <vertAlign val="subscript"/>
        <sz val="10"/>
        <rFont val="Arial"/>
        <family val="2"/>
      </rPr>
      <t>PAO</t>
    </r>
  </si>
  <si>
    <r>
      <t>g X</t>
    </r>
    <r>
      <rPr>
        <vertAlign val="subscript"/>
        <sz val="8"/>
        <rFont val="Arial"/>
        <family val="2"/>
      </rPr>
      <t>Gly</t>
    </r>
    <r>
      <rPr>
        <sz val="8"/>
        <rFont val="Arial"/>
        <family val="2"/>
      </rPr>
      <t>.g X</t>
    </r>
    <r>
      <rPr>
        <vertAlign val="subscript"/>
        <sz val="8"/>
        <rFont val="Arial"/>
        <family val="2"/>
      </rPr>
      <t>PAO</t>
    </r>
    <r>
      <rPr>
        <vertAlign val="superscript"/>
        <sz val="10"/>
        <rFont val="Arial"/>
        <family val="2"/>
      </rPr>
      <t>-1</t>
    </r>
  </si>
  <si>
    <r>
      <t>Rate for X</t>
    </r>
    <r>
      <rPr>
        <vertAlign val="subscript"/>
        <sz val="10"/>
        <rFont val="Arial"/>
        <family val="2"/>
      </rPr>
      <t>PAO,PHA</t>
    </r>
    <r>
      <rPr>
        <sz val="10"/>
        <rFont val="Arial"/>
        <family val="2"/>
      </rPr>
      <t xml:space="preserve"> consumption (X</t>
    </r>
    <r>
      <rPr>
        <vertAlign val="subscript"/>
        <sz val="10"/>
        <rFont val="Arial"/>
        <family val="2"/>
      </rPr>
      <t>PAO</t>
    </r>
    <r>
      <rPr>
        <sz val="10"/>
        <rFont val="Arial"/>
        <family val="2"/>
      </rPr>
      <t xml:space="preserve"> growth)</t>
    </r>
  </si>
  <si>
    <r>
      <t>g S</t>
    </r>
    <r>
      <rPr>
        <vertAlign val="subscript"/>
        <sz val="8"/>
        <rFont val="Arial"/>
        <family val="2"/>
      </rPr>
      <t>O2</t>
    </r>
    <r>
      <rPr>
        <sz val="8"/>
        <rFont val="Arial"/>
        <family val="2"/>
      </rPr>
      <t>.g X</t>
    </r>
    <r>
      <rPr>
        <vertAlign val="subscript"/>
        <sz val="8"/>
        <rFont val="Arial"/>
        <family val="2"/>
      </rPr>
      <t>PAO</t>
    </r>
    <r>
      <rPr>
        <vertAlign val="superscript"/>
        <sz val="8"/>
        <rFont val="Arial"/>
        <family val="2"/>
      </rPr>
      <t>-1</t>
    </r>
    <r>
      <rPr>
        <sz val="8"/>
        <rFont val="Arial"/>
        <family val="2"/>
      </rPr>
      <t>.d</t>
    </r>
    <r>
      <rPr>
        <vertAlign val="superscript"/>
        <sz val="10"/>
        <rFont val="Arial"/>
        <family val="2"/>
      </rPr>
      <t>-1</t>
    </r>
  </si>
  <si>
    <r>
      <t>Maintenance rate for X</t>
    </r>
    <r>
      <rPr>
        <vertAlign val="subscript"/>
        <sz val="10"/>
        <rFont val="Arial"/>
        <family val="2"/>
      </rPr>
      <t>PAO</t>
    </r>
    <r>
      <rPr>
        <sz val="10"/>
        <rFont val="Arial"/>
        <family val="2"/>
      </rPr>
      <t xml:space="preserve"> (Aerobic)</t>
    </r>
  </si>
  <si>
    <r>
      <t>Maintenance rate for X</t>
    </r>
    <r>
      <rPr>
        <vertAlign val="subscript"/>
        <sz val="10"/>
        <rFont val="Arial"/>
        <family val="2"/>
      </rPr>
      <t>PAO</t>
    </r>
    <r>
      <rPr>
        <sz val="10"/>
        <rFont val="Arial"/>
        <family val="2"/>
      </rPr>
      <t xml:space="preserve"> (Anoxic)</t>
    </r>
  </si>
  <si>
    <r>
      <t>Maintenance rate for X</t>
    </r>
    <r>
      <rPr>
        <vertAlign val="subscript"/>
        <sz val="10"/>
        <rFont val="Arial"/>
        <family val="2"/>
      </rPr>
      <t>PAO</t>
    </r>
    <r>
      <rPr>
        <sz val="10"/>
        <rFont val="Arial"/>
        <family val="2"/>
      </rPr>
      <t xml:space="preserve"> (Anaerobic)</t>
    </r>
  </si>
  <si>
    <r>
      <t>g P.g X</t>
    </r>
    <r>
      <rPr>
        <vertAlign val="subscript"/>
        <sz val="8"/>
        <rFont val="Arial"/>
        <family val="2"/>
      </rPr>
      <t>PAO</t>
    </r>
    <r>
      <rPr>
        <vertAlign val="superscript"/>
        <sz val="8"/>
        <rFont val="Arial"/>
        <family val="2"/>
      </rPr>
      <t>-1</t>
    </r>
    <r>
      <rPr>
        <sz val="8"/>
        <rFont val="Arial"/>
        <family val="2"/>
      </rPr>
      <t>.</t>
    </r>
    <r>
      <rPr>
        <sz val="10"/>
        <rFont val="Arial"/>
        <family val="2"/>
      </rPr>
      <t>d</t>
    </r>
    <r>
      <rPr>
        <vertAlign val="superscript"/>
        <sz val="10"/>
        <rFont val="Arial"/>
        <family val="2"/>
      </rPr>
      <t>-1</t>
    </r>
  </si>
  <si>
    <r>
      <t>K</t>
    </r>
    <r>
      <rPr>
        <vertAlign val="subscript"/>
        <sz val="12"/>
        <color indexed="57"/>
        <rFont val="Arial"/>
        <family val="2"/>
      </rPr>
      <t>O,PAO</t>
    </r>
  </si>
  <si>
    <r>
      <t>K</t>
    </r>
    <r>
      <rPr>
        <vertAlign val="subscript"/>
        <sz val="12"/>
        <color indexed="57"/>
        <rFont val="Arial"/>
        <family val="2"/>
      </rPr>
      <t>NO,PAO</t>
    </r>
  </si>
  <si>
    <r>
      <t>K</t>
    </r>
    <r>
      <rPr>
        <vertAlign val="subscript"/>
        <sz val="12"/>
        <color indexed="57"/>
        <rFont val="Arial"/>
        <family val="2"/>
      </rPr>
      <t>N,PAO</t>
    </r>
  </si>
  <si>
    <r>
      <t>Half saturation parameter for X</t>
    </r>
    <r>
      <rPr>
        <vertAlign val="subscript"/>
        <sz val="10"/>
        <rFont val="Arial"/>
        <family val="2"/>
      </rPr>
      <t>PAO,PP</t>
    </r>
    <r>
      <rPr>
        <sz val="10"/>
        <rFont val="Arial"/>
        <family val="2"/>
      </rPr>
      <t xml:space="preserve"> </t>
    </r>
  </si>
  <si>
    <r>
      <t>g X</t>
    </r>
    <r>
      <rPr>
        <vertAlign val="subscript"/>
        <sz val="8"/>
        <rFont val="Arial"/>
        <family val="2"/>
      </rPr>
      <t>PP</t>
    </r>
    <r>
      <rPr>
        <sz val="8"/>
        <rFont val="Arial"/>
        <family val="2"/>
      </rPr>
      <t>.m</t>
    </r>
    <r>
      <rPr>
        <vertAlign val="superscript"/>
        <sz val="10"/>
        <rFont val="Arial"/>
        <family val="2"/>
      </rPr>
      <t>-3</t>
    </r>
  </si>
  <si>
    <r>
      <t>Half saturation parameter for X</t>
    </r>
    <r>
      <rPr>
        <vertAlign val="subscript"/>
        <sz val="10"/>
        <rFont val="Arial"/>
        <family val="2"/>
      </rPr>
      <t xml:space="preserve">PAO,PHA </t>
    </r>
  </si>
  <si>
    <r>
      <t>g X</t>
    </r>
    <r>
      <rPr>
        <vertAlign val="subscript"/>
        <sz val="8"/>
        <rFont val="Arial"/>
        <family val="2"/>
      </rPr>
      <t>PHA</t>
    </r>
    <r>
      <rPr>
        <sz val="8"/>
        <rFont val="Arial"/>
        <family val="2"/>
      </rPr>
      <t>.m</t>
    </r>
    <r>
      <rPr>
        <vertAlign val="superscript"/>
        <sz val="10"/>
        <rFont val="Arial"/>
        <family val="2"/>
      </rPr>
      <t>-3</t>
    </r>
  </si>
  <si>
    <r>
      <t>Half saturation parameter for X</t>
    </r>
    <r>
      <rPr>
        <vertAlign val="subscript"/>
        <sz val="10"/>
        <rFont val="Arial"/>
        <family val="2"/>
      </rPr>
      <t>PAO,Gly</t>
    </r>
  </si>
  <si>
    <r>
      <t>g X</t>
    </r>
    <r>
      <rPr>
        <vertAlign val="subscript"/>
        <sz val="8"/>
        <rFont val="Arial"/>
        <family val="2"/>
      </rPr>
      <t>Gly</t>
    </r>
    <r>
      <rPr>
        <sz val="8"/>
        <rFont val="Arial"/>
        <family val="2"/>
      </rPr>
      <t>.m</t>
    </r>
    <r>
      <rPr>
        <vertAlign val="superscript"/>
        <sz val="10"/>
        <rFont val="Arial"/>
        <family val="2"/>
      </rPr>
      <t>-3</t>
    </r>
  </si>
  <si>
    <r>
      <t>K</t>
    </r>
    <r>
      <rPr>
        <vertAlign val="subscript"/>
        <sz val="12"/>
        <color indexed="57"/>
        <rFont val="Arial"/>
        <family val="2"/>
      </rPr>
      <t>HCO,PAO</t>
    </r>
  </si>
  <si>
    <r>
      <t>K</t>
    </r>
    <r>
      <rPr>
        <vertAlign val="subscript"/>
        <sz val="12"/>
        <color indexed="57"/>
        <rFont val="Arial"/>
        <family val="2"/>
      </rPr>
      <t>O,A</t>
    </r>
  </si>
  <si>
    <r>
      <t>K</t>
    </r>
    <r>
      <rPr>
        <vertAlign val="subscript"/>
        <sz val="12"/>
        <color indexed="57"/>
        <rFont val="Arial"/>
        <family val="2"/>
      </rPr>
      <t>NH,A</t>
    </r>
  </si>
  <si>
    <r>
      <t>K</t>
    </r>
    <r>
      <rPr>
        <vertAlign val="subscript"/>
        <sz val="12"/>
        <color indexed="57"/>
        <rFont val="Arial"/>
        <family val="2"/>
      </rPr>
      <t>P,A</t>
    </r>
  </si>
  <si>
    <r>
      <t>K</t>
    </r>
    <r>
      <rPr>
        <vertAlign val="subscript"/>
        <sz val="12"/>
        <color indexed="57"/>
        <rFont val="Arial"/>
        <family val="2"/>
      </rPr>
      <t>HCO,A</t>
    </r>
  </si>
  <si>
    <r>
      <t>Aerobic growth of Z</t>
    </r>
    <r>
      <rPr>
        <b/>
        <vertAlign val="subscript"/>
        <sz val="10"/>
        <color indexed="8"/>
        <rFont val="Arial"/>
        <family val="2"/>
      </rPr>
      <t>H</t>
    </r>
    <r>
      <rPr>
        <b/>
        <sz val="10"/>
        <color indexed="8"/>
        <rFont val="Arial"/>
        <family val="2"/>
      </rPr>
      <t xml:space="preserve"> on S</t>
    </r>
    <r>
      <rPr>
        <b/>
        <vertAlign val="subscript"/>
        <sz val="10"/>
        <color indexed="8"/>
        <rFont val="Arial"/>
        <family val="2"/>
      </rPr>
      <t>BSC</t>
    </r>
    <r>
      <rPr>
        <b/>
        <sz val="10"/>
        <color indexed="8"/>
        <rFont val="Arial"/>
        <family val="2"/>
      </rPr>
      <t xml:space="preserve"> with N</t>
    </r>
    <r>
      <rPr>
        <b/>
        <vertAlign val="subscript"/>
        <sz val="10"/>
        <color indexed="8"/>
        <rFont val="Arial"/>
        <family val="2"/>
      </rPr>
      <t>H3</t>
    </r>
  </si>
  <si>
    <r>
      <t>-1/</t>
    </r>
    <r>
      <rPr>
        <i/>
        <sz val="12"/>
        <color indexed="8"/>
        <rFont val="Arial"/>
        <family val="2"/>
      </rPr>
      <t>Y</t>
    </r>
    <r>
      <rPr>
        <vertAlign val="subscript"/>
        <sz val="12"/>
        <color indexed="8"/>
        <rFont val="Arial"/>
        <family val="2"/>
      </rPr>
      <t>H,AER</t>
    </r>
  </si>
  <si>
    <r>
      <t>-</t>
    </r>
    <r>
      <rPr>
        <i/>
        <sz val="12"/>
        <color indexed="8"/>
        <rFont val="Arial"/>
        <family val="2"/>
      </rPr>
      <t>f</t>
    </r>
    <r>
      <rPr>
        <vertAlign val="subscript"/>
        <sz val="12"/>
        <color indexed="8"/>
        <rFont val="Arial"/>
        <family val="2"/>
      </rPr>
      <t>P,ZH</t>
    </r>
  </si>
  <si>
    <r>
      <t>-</t>
    </r>
    <r>
      <rPr>
        <i/>
        <sz val="12"/>
        <color indexed="8"/>
        <rFont val="Arial"/>
        <family val="2"/>
      </rPr>
      <t>f</t>
    </r>
    <r>
      <rPr>
        <vertAlign val="subscript"/>
        <sz val="12"/>
        <color indexed="8"/>
        <rFont val="Arial"/>
        <family val="2"/>
      </rPr>
      <t>N,ZH</t>
    </r>
  </si>
  <si>
    <r>
      <t>-(1-</t>
    </r>
    <r>
      <rPr>
        <i/>
        <sz val="12"/>
        <color indexed="8"/>
        <rFont val="Arial"/>
        <family val="2"/>
      </rPr>
      <t>Y</t>
    </r>
    <r>
      <rPr>
        <vertAlign val="subscript"/>
        <sz val="12"/>
        <color indexed="8"/>
        <rFont val="Arial"/>
        <family val="2"/>
      </rPr>
      <t>H,AER</t>
    </r>
    <r>
      <rPr>
        <sz val="12"/>
        <color indexed="8"/>
        <rFont val="Arial"/>
        <family val="2"/>
      </rPr>
      <t>)</t>
    </r>
    <r>
      <rPr>
        <i/>
        <sz val="12"/>
        <color indexed="8"/>
        <rFont val="Arial"/>
        <family val="2"/>
      </rPr>
      <t>/Y</t>
    </r>
    <r>
      <rPr>
        <vertAlign val="subscript"/>
        <sz val="12"/>
        <color indexed="8"/>
        <rFont val="Arial"/>
        <family val="2"/>
      </rPr>
      <t>H,AER</t>
    </r>
  </si>
  <si>
    <r>
      <t>-(1-</t>
    </r>
    <r>
      <rPr>
        <i/>
        <sz val="12"/>
        <rFont val="Arial"/>
        <family val="2"/>
      </rPr>
      <t>Y</t>
    </r>
    <r>
      <rPr>
        <vertAlign val="subscript"/>
        <sz val="12"/>
        <rFont val="Arial"/>
        <family val="2"/>
      </rPr>
      <t>H</t>
    </r>
    <r>
      <rPr>
        <sz val="12"/>
        <rFont val="Arial"/>
        <family val="2"/>
      </rPr>
      <t>)/(</t>
    </r>
    <r>
      <rPr>
        <i/>
        <sz val="12"/>
        <rFont val="Arial"/>
        <family val="2"/>
      </rPr>
      <t>i</t>
    </r>
    <r>
      <rPr>
        <vertAlign val="subscript"/>
        <sz val="12"/>
        <rFont val="Arial"/>
        <family val="2"/>
      </rPr>
      <t>NOx,N2</t>
    </r>
    <r>
      <rPr>
        <sz val="12"/>
        <rFont val="Arial"/>
        <family val="2"/>
      </rPr>
      <t>*</t>
    </r>
    <r>
      <rPr>
        <i/>
        <sz val="12"/>
        <rFont val="Arial"/>
        <family val="2"/>
      </rPr>
      <t>Y</t>
    </r>
    <r>
      <rPr>
        <vertAlign val="subscript"/>
        <sz val="12"/>
        <rFont val="Arial"/>
        <family val="2"/>
      </rPr>
      <t>H</t>
    </r>
    <r>
      <rPr>
        <sz val="12"/>
        <rFont val="Arial"/>
        <family val="2"/>
      </rPr>
      <t>)</t>
    </r>
  </si>
  <si>
    <r>
      <t>-(1-</t>
    </r>
    <r>
      <rPr>
        <i/>
        <sz val="12"/>
        <rFont val="Arial"/>
        <family val="2"/>
      </rPr>
      <t>Y</t>
    </r>
    <r>
      <rPr>
        <vertAlign val="subscript"/>
        <sz val="12"/>
        <rFont val="Arial"/>
        <family val="2"/>
      </rPr>
      <t>H</t>
    </r>
    <r>
      <rPr>
        <sz val="12"/>
        <rFont val="Arial"/>
        <family val="2"/>
      </rPr>
      <t>)/(</t>
    </r>
    <r>
      <rPr>
        <i/>
        <sz val="12"/>
        <rFont val="Arial"/>
        <family val="2"/>
      </rPr>
      <t>i</t>
    </r>
    <r>
      <rPr>
        <vertAlign val="subscript"/>
        <sz val="12"/>
        <rFont val="Arial"/>
        <family val="2"/>
      </rPr>
      <t>NOx,N2</t>
    </r>
    <r>
      <rPr>
        <sz val="12"/>
        <rFont val="Arial"/>
        <family val="2"/>
      </rPr>
      <t>*</t>
    </r>
    <r>
      <rPr>
        <i/>
        <sz val="12"/>
        <rFont val="Arial"/>
        <family val="2"/>
      </rPr>
      <t>Y</t>
    </r>
    <r>
      <rPr>
        <vertAlign val="subscript"/>
        <sz val="12"/>
        <rFont val="Arial"/>
        <family val="2"/>
      </rPr>
      <t>H</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i</t>
    </r>
    <r>
      <rPr>
        <vertAlign val="subscript"/>
        <sz val="12"/>
        <rFont val="Arial"/>
        <family val="2"/>
      </rPr>
      <t>XB</t>
    </r>
    <r>
      <rPr>
        <sz val="12"/>
        <rFont val="Arial"/>
        <family val="2"/>
      </rPr>
      <t>*</t>
    </r>
    <r>
      <rPr>
        <i/>
        <sz val="12"/>
        <rFont val="Arial"/>
        <family val="2"/>
      </rPr>
      <t>i</t>
    </r>
    <r>
      <rPr>
        <vertAlign val="subscript"/>
        <sz val="12"/>
        <rFont val="Arial"/>
        <family val="2"/>
      </rPr>
      <t>Charge_NHx</t>
    </r>
  </si>
  <si>
    <r>
      <t>(1-</t>
    </r>
    <r>
      <rPr>
        <i/>
        <sz val="12"/>
        <color indexed="10"/>
        <rFont val="Arial"/>
        <family val="2"/>
      </rPr>
      <t>Y</t>
    </r>
    <r>
      <rPr>
        <vertAlign val="subscript"/>
        <sz val="12"/>
        <color indexed="10"/>
        <rFont val="Arial"/>
        <family val="2"/>
      </rPr>
      <t>H</t>
    </r>
    <r>
      <rPr>
        <sz val="12"/>
        <color indexed="10"/>
        <rFont val="Arial"/>
        <family val="2"/>
      </rPr>
      <t>)/(</t>
    </r>
    <r>
      <rPr>
        <i/>
        <sz val="12"/>
        <color indexed="10"/>
        <rFont val="Arial"/>
        <family val="2"/>
      </rPr>
      <t>i</t>
    </r>
    <r>
      <rPr>
        <vertAlign val="subscript"/>
        <sz val="12"/>
        <color indexed="10"/>
        <rFont val="Arial"/>
        <family val="2"/>
      </rPr>
      <t>NOx,N2</t>
    </r>
    <r>
      <rPr>
        <sz val="12"/>
        <color indexed="10"/>
        <rFont val="Arial"/>
        <family val="2"/>
      </rPr>
      <t>*</t>
    </r>
    <r>
      <rPr>
        <i/>
        <sz val="12"/>
        <color indexed="10"/>
        <rFont val="Arial"/>
        <family val="2"/>
      </rPr>
      <t>Y</t>
    </r>
    <r>
      <rPr>
        <vertAlign val="subscript"/>
        <sz val="12"/>
        <color indexed="10"/>
        <rFont val="Arial"/>
        <family val="2"/>
      </rPr>
      <t>H</t>
    </r>
    <r>
      <rPr>
        <sz val="12"/>
        <color indexed="10"/>
        <rFont val="Arial"/>
        <family val="2"/>
      </rPr>
      <t>)</t>
    </r>
  </si>
  <si>
    <r>
      <t>μ</t>
    </r>
    <r>
      <rPr>
        <vertAlign val="subscript"/>
        <sz val="12"/>
        <color indexed="8"/>
        <rFont val="Arial"/>
        <family val="2"/>
      </rPr>
      <t>H</t>
    </r>
    <r>
      <rPr>
        <sz val="12"/>
        <color indexed="8"/>
        <rFont val="Arial"/>
        <family val="2"/>
      </rPr>
      <t>*[</t>
    </r>
    <r>
      <rPr>
        <i/>
        <sz val="12"/>
        <color indexed="8"/>
        <rFont val="Arial"/>
        <family val="2"/>
      </rPr>
      <t>S</t>
    </r>
    <r>
      <rPr>
        <vertAlign val="subscript"/>
        <sz val="12"/>
        <color indexed="8"/>
        <rFont val="Arial"/>
        <family val="2"/>
      </rPr>
      <t>S</t>
    </r>
    <r>
      <rPr>
        <sz val="12"/>
        <color indexed="8"/>
        <rFont val="Arial"/>
        <family val="2"/>
      </rPr>
      <t>/(</t>
    </r>
    <r>
      <rPr>
        <i/>
        <sz val="12"/>
        <color indexed="8"/>
        <rFont val="Arial"/>
        <family val="2"/>
      </rPr>
      <t>K</t>
    </r>
    <r>
      <rPr>
        <vertAlign val="subscript"/>
        <sz val="12"/>
        <color indexed="8"/>
        <rFont val="Arial"/>
        <family val="2"/>
      </rPr>
      <t>S</t>
    </r>
    <r>
      <rPr>
        <sz val="12"/>
        <color indexed="8"/>
        <rFont val="Arial"/>
        <family val="2"/>
      </rPr>
      <t>+</t>
    </r>
    <r>
      <rPr>
        <i/>
        <sz val="12"/>
        <color indexed="8"/>
        <rFont val="Arial"/>
        <family val="2"/>
      </rPr>
      <t>S</t>
    </r>
    <r>
      <rPr>
        <vertAlign val="subscript"/>
        <sz val="12"/>
        <color indexed="8"/>
        <rFont val="Arial"/>
        <family val="2"/>
      </rPr>
      <t>S</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NH</t>
    </r>
    <r>
      <rPr>
        <sz val="12"/>
        <color indexed="10"/>
        <rFont val="Arial"/>
        <family val="2"/>
      </rPr>
      <t>/(</t>
    </r>
    <r>
      <rPr>
        <i/>
        <sz val="12"/>
        <color indexed="10"/>
        <rFont val="Arial"/>
        <family val="2"/>
      </rPr>
      <t>K</t>
    </r>
    <r>
      <rPr>
        <vertAlign val="subscript"/>
        <sz val="12"/>
        <color indexed="10"/>
        <rFont val="Arial"/>
        <family val="2"/>
      </rPr>
      <t>NH,H</t>
    </r>
    <r>
      <rPr>
        <sz val="12"/>
        <color indexed="10"/>
        <rFont val="Arial"/>
        <family val="2"/>
      </rPr>
      <t>+</t>
    </r>
    <r>
      <rPr>
        <i/>
        <sz val="12"/>
        <color indexed="10"/>
        <rFont val="Arial"/>
        <family val="2"/>
      </rPr>
      <t>S</t>
    </r>
    <r>
      <rPr>
        <vertAlign val="subscript"/>
        <sz val="12"/>
        <color indexed="10"/>
        <rFont val="Arial"/>
        <family val="2"/>
      </rPr>
      <t>NH</t>
    </r>
    <r>
      <rPr>
        <sz val="12"/>
        <color indexed="10"/>
        <rFont val="Arial"/>
        <family val="2"/>
      </rPr>
      <t>)]</t>
    </r>
    <r>
      <rPr>
        <sz val="12"/>
        <color indexed="8"/>
        <rFont val="Arial"/>
        <family val="2"/>
      </rPr>
      <t>*</t>
    </r>
    <r>
      <rPr>
        <i/>
        <sz val="12"/>
        <color indexed="8"/>
        <rFont val="Arial"/>
        <family val="2"/>
      </rPr>
      <t>η</t>
    </r>
    <r>
      <rPr>
        <vertAlign val="subscript"/>
        <sz val="12"/>
        <color indexed="8"/>
        <rFont val="Arial"/>
        <family val="2"/>
      </rPr>
      <t>g</t>
    </r>
    <r>
      <rPr>
        <sz val="12"/>
        <color indexed="8"/>
        <rFont val="Arial"/>
        <family val="2"/>
      </rPr>
      <t>*</t>
    </r>
    <r>
      <rPr>
        <i/>
        <sz val="12"/>
        <color indexed="8"/>
        <rFont val="Arial"/>
        <family val="2"/>
      </rPr>
      <t>X</t>
    </r>
    <r>
      <rPr>
        <vertAlign val="subscript"/>
        <sz val="12"/>
        <color indexed="8"/>
        <rFont val="Arial"/>
        <family val="2"/>
      </rPr>
      <t>B,H</t>
    </r>
  </si>
  <si>
    <r>
      <t>-(-</t>
    </r>
    <r>
      <rPr>
        <i/>
        <sz val="12"/>
        <rFont val="Arial"/>
        <family val="2"/>
      </rPr>
      <t>i</t>
    </r>
    <r>
      <rPr>
        <vertAlign val="subscript"/>
        <sz val="12"/>
        <rFont val="Arial"/>
        <family val="2"/>
      </rPr>
      <t>COD_NOx</t>
    </r>
    <r>
      <rPr>
        <sz val="12"/>
        <rFont val="Arial"/>
        <family val="2"/>
      </rPr>
      <t>-</t>
    </r>
    <r>
      <rPr>
        <i/>
        <sz val="12"/>
        <rFont val="Arial"/>
        <family val="2"/>
      </rPr>
      <t>Y</t>
    </r>
    <r>
      <rPr>
        <vertAlign val="subscript"/>
        <sz val="12"/>
        <rFont val="Arial"/>
        <family val="2"/>
      </rPr>
      <t>A</t>
    </r>
    <r>
      <rPr>
        <sz val="12"/>
        <rFont val="Arial"/>
        <family val="2"/>
      </rPr>
      <t>)/</t>
    </r>
    <r>
      <rPr>
        <i/>
        <sz val="12"/>
        <rFont val="Arial"/>
        <family val="2"/>
      </rPr>
      <t>Y</t>
    </r>
    <r>
      <rPr>
        <vertAlign val="subscript"/>
        <sz val="12"/>
        <rFont val="Arial"/>
        <family val="2"/>
      </rPr>
      <t>A</t>
    </r>
  </si>
  <si>
    <r>
      <t>1/</t>
    </r>
    <r>
      <rPr>
        <i/>
        <sz val="12"/>
        <rFont val="Arial"/>
        <family val="2"/>
      </rPr>
      <t>Y</t>
    </r>
    <r>
      <rPr>
        <vertAlign val="subscript"/>
        <sz val="12"/>
        <rFont val="Arial"/>
        <family val="2"/>
      </rPr>
      <t>A</t>
    </r>
  </si>
  <si>
    <r>
      <t>-</t>
    </r>
    <r>
      <rPr>
        <i/>
        <sz val="12"/>
        <rFont val="Arial"/>
        <family val="2"/>
      </rPr>
      <t>i</t>
    </r>
    <r>
      <rPr>
        <vertAlign val="subscript"/>
        <sz val="12"/>
        <rFont val="Arial"/>
        <family val="2"/>
      </rPr>
      <t>XB</t>
    </r>
    <r>
      <rPr>
        <sz val="12"/>
        <rFont val="Arial"/>
        <family val="2"/>
      </rPr>
      <t>-1/</t>
    </r>
    <r>
      <rPr>
        <i/>
        <sz val="12"/>
        <rFont val="Arial"/>
        <family val="2"/>
      </rPr>
      <t>Y</t>
    </r>
    <r>
      <rPr>
        <vertAlign val="subscript"/>
        <sz val="12"/>
        <rFont val="Arial"/>
        <family val="2"/>
      </rPr>
      <t>A</t>
    </r>
  </si>
  <si>
    <r>
      <t>-(</t>
    </r>
    <r>
      <rPr>
        <i/>
        <sz val="12"/>
        <rFont val="Arial"/>
        <family val="2"/>
      </rPr>
      <t>i</t>
    </r>
    <r>
      <rPr>
        <vertAlign val="subscript"/>
        <sz val="12"/>
        <rFont val="Arial"/>
        <family val="2"/>
      </rPr>
      <t>XB</t>
    </r>
    <r>
      <rPr>
        <sz val="12"/>
        <rFont val="Arial"/>
        <family val="2"/>
      </rPr>
      <t>+1/</t>
    </r>
    <r>
      <rPr>
        <i/>
        <sz val="12"/>
        <rFont val="Arial"/>
        <family val="2"/>
      </rPr>
      <t>Y</t>
    </r>
    <r>
      <rPr>
        <vertAlign val="subscript"/>
        <sz val="12"/>
        <rFont val="Arial"/>
        <family val="2"/>
      </rPr>
      <t>A</t>
    </r>
    <r>
      <rPr>
        <sz val="12"/>
        <rFont val="Arial"/>
        <family val="2"/>
      </rPr>
      <t>)*</t>
    </r>
    <r>
      <rPr>
        <i/>
        <sz val="12"/>
        <rFont val="Arial"/>
        <family val="2"/>
      </rPr>
      <t>i</t>
    </r>
    <r>
      <rPr>
        <vertAlign val="subscript"/>
        <sz val="12"/>
        <rFont val="Arial"/>
        <family val="2"/>
      </rPr>
      <t>Charge_NHx</t>
    </r>
    <r>
      <rPr>
        <sz val="12"/>
        <rFont val="Arial"/>
        <family val="2"/>
      </rPr>
      <t>+(1/</t>
    </r>
    <r>
      <rPr>
        <i/>
        <sz val="12"/>
        <rFont val="Arial"/>
        <family val="2"/>
      </rPr>
      <t>Y</t>
    </r>
    <r>
      <rPr>
        <vertAlign val="subscript"/>
        <sz val="12"/>
        <rFont val="Arial"/>
        <family val="2"/>
      </rPr>
      <t>A</t>
    </r>
    <r>
      <rPr>
        <sz val="12"/>
        <rFont val="Arial"/>
        <family val="2"/>
      </rPr>
      <t>)*</t>
    </r>
    <r>
      <rPr>
        <i/>
        <sz val="12"/>
        <rFont val="Arial"/>
        <family val="2"/>
      </rPr>
      <t>i</t>
    </r>
    <r>
      <rPr>
        <vertAlign val="subscript"/>
        <sz val="12"/>
        <rFont val="Arial"/>
        <family val="2"/>
      </rPr>
      <t>Charge_NOx</t>
    </r>
  </si>
  <si>
    <r>
      <t>μ</t>
    </r>
    <r>
      <rPr>
        <vertAlign val="subscript"/>
        <sz val="12"/>
        <color indexed="8"/>
        <rFont val="Arial"/>
        <family val="2"/>
      </rPr>
      <t>A</t>
    </r>
    <r>
      <rPr>
        <sz val="12"/>
        <color indexed="8"/>
        <rFont val="Arial"/>
        <family val="2"/>
      </rPr>
      <t>*[</t>
    </r>
    <r>
      <rPr>
        <i/>
        <sz val="12"/>
        <color indexed="8"/>
        <rFont val="Arial"/>
        <family val="2"/>
      </rPr>
      <t>S</t>
    </r>
    <r>
      <rPr>
        <vertAlign val="subscript"/>
        <sz val="12"/>
        <color indexed="8"/>
        <rFont val="Arial"/>
        <family val="2"/>
      </rPr>
      <t>NH</t>
    </r>
    <r>
      <rPr>
        <sz val="12"/>
        <color indexed="8"/>
        <rFont val="Arial"/>
        <family val="2"/>
      </rPr>
      <t>/(</t>
    </r>
    <r>
      <rPr>
        <i/>
        <sz val="12"/>
        <color indexed="8"/>
        <rFont val="Arial"/>
        <family val="2"/>
      </rPr>
      <t>K</t>
    </r>
    <r>
      <rPr>
        <vertAlign val="subscript"/>
        <sz val="12"/>
        <color indexed="8"/>
        <rFont val="Arial"/>
        <family val="2"/>
      </rPr>
      <t>NH</t>
    </r>
    <r>
      <rPr>
        <sz val="12"/>
        <color indexed="8"/>
        <rFont val="Arial"/>
        <family val="2"/>
      </rPr>
      <t>+</t>
    </r>
    <r>
      <rPr>
        <i/>
        <sz val="12"/>
        <color indexed="8"/>
        <rFont val="Arial"/>
        <family val="2"/>
      </rPr>
      <t>S</t>
    </r>
    <r>
      <rPr>
        <vertAlign val="subscript"/>
        <sz val="12"/>
        <color indexed="8"/>
        <rFont val="Arial"/>
        <family val="2"/>
      </rPr>
      <t>NH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O,A</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X</t>
    </r>
    <r>
      <rPr>
        <vertAlign val="subscript"/>
        <sz val="12"/>
        <color indexed="8"/>
        <rFont val="Arial"/>
        <family val="2"/>
      </rPr>
      <t>B,A</t>
    </r>
  </si>
  <si>
    <r>
      <t>1-</t>
    </r>
    <r>
      <rPr>
        <i/>
        <sz val="12"/>
        <rFont val="Arial"/>
        <family val="2"/>
      </rPr>
      <t>f</t>
    </r>
    <r>
      <rPr>
        <vertAlign val="subscript"/>
        <sz val="12"/>
        <rFont val="Arial"/>
        <family val="2"/>
      </rPr>
      <t>P</t>
    </r>
  </si>
  <si>
    <r>
      <t>i</t>
    </r>
    <r>
      <rPr>
        <vertAlign val="subscript"/>
        <sz val="12"/>
        <rFont val="Arial"/>
        <family val="2"/>
      </rPr>
      <t>XB</t>
    </r>
    <r>
      <rPr>
        <sz val="12"/>
        <rFont val="Arial"/>
        <family val="2"/>
      </rPr>
      <t>-</t>
    </r>
    <r>
      <rPr>
        <i/>
        <sz val="12"/>
        <rFont val="Arial"/>
        <family val="2"/>
      </rPr>
      <t>f</t>
    </r>
    <r>
      <rPr>
        <vertAlign val="subscript"/>
        <sz val="12"/>
        <rFont val="Arial"/>
        <family val="2"/>
      </rPr>
      <t>P</t>
    </r>
    <r>
      <rPr>
        <sz val="12"/>
        <rFont val="Arial"/>
        <family val="2"/>
      </rPr>
      <t>*</t>
    </r>
    <r>
      <rPr>
        <i/>
        <sz val="12"/>
        <rFont val="Arial"/>
        <family val="2"/>
      </rPr>
      <t>i</t>
    </r>
    <r>
      <rPr>
        <vertAlign val="subscript"/>
        <sz val="12"/>
        <rFont val="Arial"/>
        <family val="2"/>
      </rPr>
      <t>XP</t>
    </r>
  </si>
  <si>
    <r>
      <t>b</t>
    </r>
    <r>
      <rPr>
        <vertAlign val="subscript"/>
        <sz val="12"/>
        <color indexed="8"/>
        <rFont val="Arial"/>
        <family val="2"/>
      </rPr>
      <t>H</t>
    </r>
    <r>
      <rPr>
        <sz val="12"/>
        <color indexed="8"/>
        <rFont val="Arial"/>
        <family val="2"/>
      </rPr>
      <t>*</t>
    </r>
    <r>
      <rPr>
        <i/>
        <sz val="12"/>
        <color indexed="8"/>
        <rFont val="Arial"/>
        <family val="2"/>
      </rPr>
      <t>X</t>
    </r>
    <r>
      <rPr>
        <vertAlign val="subscript"/>
        <sz val="12"/>
        <color indexed="8"/>
        <rFont val="Arial"/>
        <family val="2"/>
      </rPr>
      <t>B,H</t>
    </r>
  </si>
  <si>
    <r>
      <t>b</t>
    </r>
    <r>
      <rPr>
        <vertAlign val="subscript"/>
        <sz val="12"/>
        <color indexed="8"/>
        <rFont val="Arial"/>
        <family val="2"/>
      </rPr>
      <t>A</t>
    </r>
    <r>
      <rPr>
        <sz val="12"/>
        <color indexed="8"/>
        <rFont val="Arial"/>
        <family val="2"/>
      </rPr>
      <t>*</t>
    </r>
    <r>
      <rPr>
        <i/>
        <sz val="12"/>
        <color indexed="8"/>
        <rFont val="Arial"/>
        <family val="2"/>
      </rPr>
      <t>X</t>
    </r>
    <r>
      <rPr>
        <vertAlign val="subscript"/>
        <sz val="12"/>
        <color indexed="8"/>
        <rFont val="Arial"/>
        <family val="2"/>
      </rPr>
      <t>B,A</t>
    </r>
  </si>
  <si>
    <r>
      <t>k</t>
    </r>
    <r>
      <rPr>
        <vertAlign val="subscript"/>
        <sz val="12"/>
        <color indexed="8"/>
        <rFont val="Arial"/>
        <family val="2"/>
      </rPr>
      <t>a</t>
    </r>
    <r>
      <rPr>
        <sz val="12"/>
        <color indexed="8"/>
        <rFont val="Arial"/>
        <family val="2"/>
      </rPr>
      <t>*</t>
    </r>
    <r>
      <rPr>
        <i/>
        <sz val="12"/>
        <color indexed="8"/>
        <rFont val="Arial"/>
        <family val="2"/>
      </rPr>
      <t>S</t>
    </r>
    <r>
      <rPr>
        <vertAlign val="subscript"/>
        <sz val="12"/>
        <color indexed="8"/>
        <rFont val="Arial"/>
        <family val="2"/>
      </rPr>
      <t>ND</t>
    </r>
    <r>
      <rPr>
        <sz val="12"/>
        <color indexed="8"/>
        <rFont val="Arial"/>
        <family val="2"/>
      </rPr>
      <t>*</t>
    </r>
    <r>
      <rPr>
        <i/>
        <sz val="12"/>
        <color indexed="8"/>
        <rFont val="Arial"/>
        <family val="2"/>
      </rPr>
      <t>X</t>
    </r>
    <r>
      <rPr>
        <vertAlign val="subscript"/>
        <sz val="12"/>
        <color indexed="8"/>
        <rFont val="Arial"/>
        <family val="2"/>
      </rPr>
      <t>B,H</t>
    </r>
  </si>
  <si>
    <r>
      <t>Ammonia (NH</t>
    </r>
    <r>
      <rPr>
        <vertAlign val="subscript"/>
        <sz val="11"/>
        <color indexed="8"/>
        <rFont val="Arial"/>
        <family val="2"/>
      </rPr>
      <t xml:space="preserve">4 </t>
    </r>
    <r>
      <rPr>
        <sz val="11"/>
        <color indexed="8"/>
        <rFont val="Arial"/>
        <family val="2"/>
      </rPr>
      <t>+ NH</t>
    </r>
    <r>
      <rPr>
        <vertAlign val="subscript"/>
        <sz val="11"/>
        <color indexed="8"/>
        <rFont val="Arial"/>
        <family val="2"/>
      </rPr>
      <t>3</t>
    </r>
    <r>
      <rPr>
        <sz val="11"/>
        <color indexed="8"/>
        <rFont val="Arial"/>
        <family val="2"/>
      </rPr>
      <t>)</t>
    </r>
  </si>
  <si>
    <r>
      <t>k</t>
    </r>
    <r>
      <rPr>
        <vertAlign val="subscript"/>
        <sz val="12"/>
        <color indexed="8"/>
        <rFont val="Arial"/>
        <family val="2"/>
      </rPr>
      <t>H</t>
    </r>
    <r>
      <rPr>
        <sz val="12"/>
        <color indexed="8"/>
        <rFont val="Arial"/>
        <family val="2"/>
      </rPr>
      <t>*[(</t>
    </r>
    <r>
      <rPr>
        <i/>
        <sz val="12"/>
        <color indexed="8"/>
        <rFont val="Arial"/>
        <family val="2"/>
      </rPr>
      <t>X</t>
    </r>
    <r>
      <rPr>
        <vertAlign val="subscript"/>
        <sz val="12"/>
        <color indexed="8"/>
        <rFont val="Arial"/>
        <family val="2"/>
      </rPr>
      <t>S</t>
    </r>
    <r>
      <rPr>
        <sz val="12"/>
        <color indexed="8"/>
        <rFont val="Arial"/>
        <family val="2"/>
      </rPr>
      <t>/</t>
    </r>
    <r>
      <rPr>
        <i/>
        <sz val="12"/>
        <color indexed="8"/>
        <rFont val="Arial"/>
        <family val="2"/>
      </rPr>
      <t>X</t>
    </r>
    <r>
      <rPr>
        <vertAlign val="subscript"/>
        <sz val="12"/>
        <color indexed="8"/>
        <rFont val="Arial"/>
        <family val="2"/>
      </rPr>
      <t>B,H</t>
    </r>
    <r>
      <rPr>
        <sz val="12"/>
        <color indexed="8"/>
        <rFont val="Arial"/>
        <family val="2"/>
      </rPr>
      <t>)/(</t>
    </r>
    <r>
      <rPr>
        <i/>
        <sz val="12"/>
        <color indexed="8"/>
        <rFont val="Arial"/>
        <family val="2"/>
      </rPr>
      <t>K</t>
    </r>
    <r>
      <rPr>
        <vertAlign val="subscript"/>
        <sz val="12"/>
        <color indexed="8"/>
        <rFont val="Arial"/>
        <family val="2"/>
      </rPr>
      <t>X</t>
    </r>
    <r>
      <rPr>
        <sz val="12"/>
        <color indexed="8"/>
        <rFont val="Arial"/>
        <family val="2"/>
      </rPr>
      <t>+</t>
    </r>
    <r>
      <rPr>
        <i/>
        <sz val="12"/>
        <color indexed="8"/>
        <rFont val="Arial"/>
        <family val="2"/>
      </rPr>
      <t>X</t>
    </r>
    <r>
      <rPr>
        <vertAlign val="subscript"/>
        <sz val="12"/>
        <color indexed="8"/>
        <rFont val="Arial"/>
        <family val="2"/>
      </rPr>
      <t>S</t>
    </r>
    <r>
      <rPr>
        <sz val="12"/>
        <color indexed="8"/>
        <rFont val="Arial"/>
        <family val="2"/>
      </rPr>
      <t>/</t>
    </r>
    <r>
      <rPr>
        <i/>
        <sz val="12"/>
        <color indexed="8"/>
        <rFont val="Arial"/>
        <family val="2"/>
      </rPr>
      <t>X</t>
    </r>
    <r>
      <rPr>
        <vertAlign val="subscript"/>
        <sz val="12"/>
        <color indexed="8"/>
        <rFont val="Arial"/>
        <family val="2"/>
      </rPr>
      <t>B,H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η</t>
    </r>
    <r>
      <rPr>
        <vertAlign val="subscript"/>
        <sz val="12"/>
        <color indexed="8"/>
        <rFont val="Arial"/>
        <family val="2"/>
      </rPr>
      <t>h</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8"/>
        <rFont val="Arial"/>
        <family val="2"/>
      </rPr>
      <t>X</t>
    </r>
    <r>
      <rPr>
        <vertAlign val="subscript"/>
        <sz val="12"/>
        <color indexed="8"/>
        <rFont val="Arial"/>
        <family val="2"/>
      </rPr>
      <t>B,H</t>
    </r>
  </si>
  <si>
    <r>
      <t>Nitrate and nitrite (NO</t>
    </r>
    <r>
      <rPr>
        <vertAlign val="subscript"/>
        <sz val="11"/>
        <rFont val="Arial"/>
        <family val="2"/>
      </rPr>
      <t>3</t>
    </r>
    <r>
      <rPr>
        <sz val="11"/>
        <rFont val="Arial"/>
        <family val="2"/>
      </rPr>
      <t xml:space="preserve"> + NO</t>
    </r>
    <r>
      <rPr>
        <vertAlign val="subscript"/>
        <sz val="11"/>
        <rFont val="Arial"/>
        <family val="2"/>
      </rPr>
      <t>2</t>
    </r>
    <r>
      <rPr>
        <sz val="11"/>
        <rFont val="Arial"/>
        <family val="2"/>
      </rPr>
      <t>) (considered to be NO</t>
    </r>
    <r>
      <rPr>
        <vertAlign val="subscript"/>
        <sz val="11"/>
        <rFont val="Arial"/>
        <family val="2"/>
      </rPr>
      <t>3</t>
    </r>
    <r>
      <rPr>
        <sz val="11"/>
        <rFont val="Arial"/>
        <family val="2"/>
      </rPr>
      <t xml:space="preserve"> only for stoichiometry)</t>
    </r>
  </si>
  <si>
    <r>
      <t>k</t>
    </r>
    <r>
      <rPr>
        <vertAlign val="subscript"/>
        <sz val="12"/>
        <color indexed="8"/>
        <rFont val="Arial"/>
        <family val="2"/>
      </rPr>
      <t>H</t>
    </r>
    <r>
      <rPr>
        <sz val="12"/>
        <color indexed="8"/>
        <rFont val="Arial"/>
        <family val="2"/>
      </rPr>
      <t>*(</t>
    </r>
    <r>
      <rPr>
        <i/>
        <sz val="12"/>
        <color indexed="8"/>
        <rFont val="Arial"/>
        <family val="2"/>
      </rPr>
      <t>X</t>
    </r>
    <r>
      <rPr>
        <vertAlign val="subscript"/>
        <sz val="12"/>
        <color indexed="8"/>
        <rFont val="Arial"/>
        <family val="2"/>
      </rPr>
      <t>ND</t>
    </r>
    <r>
      <rPr>
        <sz val="12"/>
        <color indexed="8"/>
        <rFont val="Arial"/>
        <family val="2"/>
      </rPr>
      <t>/</t>
    </r>
    <r>
      <rPr>
        <i/>
        <sz val="12"/>
        <color indexed="8"/>
        <rFont val="Arial"/>
        <family val="2"/>
      </rPr>
      <t>X</t>
    </r>
    <r>
      <rPr>
        <vertAlign val="subscript"/>
        <sz val="12"/>
        <color indexed="8"/>
        <rFont val="Arial"/>
        <family val="2"/>
      </rPr>
      <t>S</t>
    </r>
    <r>
      <rPr>
        <sz val="12"/>
        <color indexed="8"/>
        <rFont val="Arial"/>
        <family val="2"/>
      </rPr>
      <t>)*[(</t>
    </r>
    <r>
      <rPr>
        <i/>
        <sz val="12"/>
        <color indexed="8"/>
        <rFont val="Arial"/>
        <family val="2"/>
      </rPr>
      <t>X</t>
    </r>
    <r>
      <rPr>
        <vertAlign val="subscript"/>
        <sz val="12"/>
        <color indexed="8"/>
        <rFont val="Arial"/>
        <family val="2"/>
      </rPr>
      <t>S</t>
    </r>
    <r>
      <rPr>
        <sz val="12"/>
        <color indexed="8"/>
        <rFont val="Arial"/>
        <family val="2"/>
      </rPr>
      <t>/</t>
    </r>
    <r>
      <rPr>
        <i/>
        <sz val="12"/>
        <color indexed="8"/>
        <rFont val="Arial"/>
        <family val="2"/>
      </rPr>
      <t>X</t>
    </r>
    <r>
      <rPr>
        <vertAlign val="subscript"/>
        <sz val="12"/>
        <color indexed="8"/>
        <rFont val="Arial"/>
        <family val="2"/>
      </rPr>
      <t>B,H</t>
    </r>
    <r>
      <rPr>
        <sz val="12"/>
        <color indexed="8"/>
        <rFont val="Arial"/>
        <family val="2"/>
      </rPr>
      <t>)/(</t>
    </r>
    <r>
      <rPr>
        <i/>
        <sz val="12"/>
        <color indexed="8"/>
        <rFont val="Arial"/>
        <family val="2"/>
      </rPr>
      <t>K</t>
    </r>
    <r>
      <rPr>
        <vertAlign val="subscript"/>
        <sz val="12"/>
        <color indexed="8"/>
        <rFont val="Arial"/>
        <family val="2"/>
      </rPr>
      <t>X</t>
    </r>
    <r>
      <rPr>
        <sz val="12"/>
        <color indexed="8"/>
        <rFont val="Arial"/>
        <family val="2"/>
      </rPr>
      <t>+</t>
    </r>
    <r>
      <rPr>
        <i/>
        <sz val="12"/>
        <color indexed="8"/>
        <rFont val="Arial"/>
        <family val="2"/>
      </rPr>
      <t>X</t>
    </r>
    <r>
      <rPr>
        <vertAlign val="subscript"/>
        <sz val="12"/>
        <color indexed="8"/>
        <rFont val="Arial"/>
        <family val="2"/>
      </rPr>
      <t>S</t>
    </r>
    <r>
      <rPr>
        <sz val="12"/>
        <color indexed="8"/>
        <rFont val="Arial"/>
        <family val="2"/>
      </rPr>
      <t>/</t>
    </r>
    <r>
      <rPr>
        <i/>
        <sz val="12"/>
        <color indexed="8"/>
        <rFont val="Arial"/>
        <family val="2"/>
      </rPr>
      <t>X</t>
    </r>
    <r>
      <rPr>
        <vertAlign val="subscript"/>
        <sz val="12"/>
        <color indexed="8"/>
        <rFont val="Arial"/>
        <family val="2"/>
      </rPr>
      <t>B,H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η</t>
    </r>
    <r>
      <rPr>
        <vertAlign val="subscript"/>
        <sz val="12"/>
        <color indexed="8"/>
        <rFont val="Arial"/>
        <family val="2"/>
      </rPr>
      <t>h</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8"/>
        <rFont val="Arial"/>
        <family val="2"/>
      </rPr>
      <t>K</t>
    </r>
    <r>
      <rPr>
        <vertAlign val="subscript"/>
        <sz val="12"/>
        <color indexed="8"/>
        <rFont val="Arial"/>
        <family val="2"/>
      </rPr>
      <t>NO</t>
    </r>
    <r>
      <rPr>
        <sz val="12"/>
        <color indexed="8"/>
        <rFont val="Arial"/>
        <family val="2"/>
      </rPr>
      <t>+</t>
    </r>
    <r>
      <rPr>
        <i/>
        <sz val="12"/>
        <color indexed="8"/>
        <rFont val="Arial"/>
        <family val="2"/>
      </rPr>
      <t>S</t>
    </r>
    <r>
      <rPr>
        <vertAlign val="subscript"/>
        <sz val="12"/>
        <color indexed="8"/>
        <rFont val="Arial"/>
        <family val="2"/>
      </rPr>
      <t>NO</t>
    </r>
    <r>
      <rPr>
        <sz val="12"/>
        <color indexed="8"/>
        <rFont val="Arial"/>
        <family val="2"/>
      </rPr>
      <t>)])*</t>
    </r>
    <r>
      <rPr>
        <i/>
        <sz val="12"/>
        <color indexed="8"/>
        <rFont val="Arial"/>
        <family val="2"/>
      </rPr>
      <t>X</t>
    </r>
    <r>
      <rPr>
        <vertAlign val="subscript"/>
        <sz val="12"/>
        <color indexed="8"/>
        <rFont val="Arial"/>
        <family val="2"/>
      </rPr>
      <t>B,H</t>
    </r>
  </si>
  <si>
    <r>
      <t>Alkalinity (HCO3</t>
    </r>
    <r>
      <rPr>
        <vertAlign val="superscript"/>
        <sz val="10"/>
        <rFont val="Arial"/>
        <family val="2"/>
      </rPr>
      <t>-</t>
    </r>
    <r>
      <rPr>
        <sz val="11"/>
        <color indexed="8"/>
        <rFont val="Arial"/>
        <family val="2"/>
      </rPr>
      <t>)</t>
    </r>
  </si>
  <si>
    <r>
      <t>mol HCO</t>
    </r>
    <r>
      <rPr>
        <vertAlign val="subscript"/>
        <sz val="8"/>
        <rFont val="Arial"/>
        <family val="2"/>
      </rPr>
      <t>3</t>
    </r>
    <r>
      <rPr>
        <vertAlign val="superscript"/>
        <sz val="8"/>
        <rFont val="Arial"/>
        <family val="2"/>
      </rPr>
      <t>-</t>
    </r>
    <r>
      <rPr>
        <sz val="8"/>
        <rFont val="Arial"/>
        <family val="2"/>
      </rPr>
      <t>.m</t>
    </r>
    <r>
      <rPr>
        <vertAlign val="superscript"/>
        <sz val="8"/>
        <rFont val="Arial"/>
        <family val="2"/>
      </rPr>
      <t>-3</t>
    </r>
  </si>
  <si>
    <r>
      <t>Yield for X</t>
    </r>
    <r>
      <rPr>
        <vertAlign val="subscript"/>
        <sz val="11"/>
        <rFont val="Arial"/>
        <family val="2"/>
      </rPr>
      <t>OHO</t>
    </r>
    <r>
      <rPr>
        <sz val="11"/>
        <rFont val="Arial"/>
        <family val="2"/>
      </rPr>
      <t xml:space="preserve"> growth</t>
    </r>
  </si>
  <si>
    <r>
      <t>g X</t>
    </r>
    <r>
      <rPr>
        <vertAlign val="subscript"/>
        <sz val="8"/>
        <rFont val="Arial"/>
        <family val="2"/>
      </rPr>
      <t>OHO</t>
    </r>
    <r>
      <rPr>
        <sz val="8"/>
        <rFont val="Arial"/>
        <family val="2"/>
      </rPr>
      <t>.g XC</t>
    </r>
    <r>
      <rPr>
        <vertAlign val="subscript"/>
        <sz val="8"/>
        <rFont val="Arial"/>
        <family val="2"/>
      </rPr>
      <t>B</t>
    </r>
    <r>
      <rPr>
        <vertAlign val="superscript"/>
        <sz val="10"/>
        <rFont val="Arial"/>
        <family val="2"/>
      </rPr>
      <t>-1</t>
    </r>
  </si>
  <si>
    <r>
      <t>Fraction of X</t>
    </r>
    <r>
      <rPr>
        <vertAlign val="subscript"/>
        <sz val="11"/>
        <rFont val="Arial"/>
        <family val="2"/>
      </rPr>
      <t>U</t>
    </r>
    <r>
      <rPr>
        <sz val="11"/>
        <rFont val="Arial"/>
        <family val="2"/>
      </rPr>
      <t xml:space="preserve"> generated in biomass decay</t>
    </r>
  </si>
  <si>
    <r>
      <t>g X</t>
    </r>
    <r>
      <rPr>
        <vertAlign val="subscript"/>
        <sz val="8"/>
        <rFont val="Arial"/>
        <family val="2"/>
      </rPr>
      <t>U</t>
    </r>
    <r>
      <rPr>
        <sz val="8"/>
        <rFont val="Arial"/>
        <family val="2"/>
      </rPr>
      <t>.g X</t>
    </r>
    <r>
      <rPr>
        <vertAlign val="subscript"/>
        <sz val="8"/>
        <rFont val="Arial"/>
        <family val="2"/>
      </rPr>
      <t>Bio</t>
    </r>
    <r>
      <rPr>
        <vertAlign val="superscript"/>
        <sz val="10"/>
        <rFont val="Arial"/>
        <family val="2"/>
      </rPr>
      <t>-1</t>
    </r>
  </si>
  <si>
    <r>
      <t>Yield of X</t>
    </r>
    <r>
      <rPr>
        <vertAlign val="subscript"/>
        <sz val="11"/>
        <rFont val="Arial"/>
        <family val="2"/>
      </rPr>
      <t>ANO</t>
    </r>
    <r>
      <rPr>
        <sz val="11"/>
        <rFont val="Arial"/>
        <family val="2"/>
      </rPr>
      <t xml:space="preserve"> growth per S</t>
    </r>
    <r>
      <rPr>
        <vertAlign val="subscript"/>
        <sz val="11"/>
        <rFont val="Arial"/>
        <family val="2"/>
      </rPr>
      <t>NO3</t>
    </r>
  </si>
  <si>
    <r>
      <t>g X</t>
    </r>
    <r>
      <rPr>
        <vertAlign val="subscript"/>
        <sz val="8"/>
        <rFont val="Arial"/>
        <family val="2"/>
      </rPr>
      <t>AUT</t>
    </r>
    <r>
      <rPr>
        <sz val="8"/>
        <rFont val="Arial"/>
        <family val="2"/>
      </rPr>
      <t>.g S</t>
    </r>
    <r>
      <rPr>
        <vertAlign val="subscript"/>
        <sz val="8"/>
        <rFont val="Arial"/>
        <family val="2"/>
      </rPr>
      <t>NO3</t>
    </r>
    <r>
      <rPr>
        <vertAlign val="superscript"/>
        <sz val="10"/>
        <rFont val="Arial"/>
        <family val="2"/>
      </rPr>
      <t>-1</t>
    </r>
  </si>
  <si>
    <r>
      <t>N content of biomass (X</t>
    </r>
    <r>
      <rPr>
        <vertAlign val="subscript"/>
        <sz val="11"/>
        <rFont val="Arial"/>
        <family val="2"/>
      </rPr>
      <t>OHO</t>
    </r>
    <r>
      <rPr>
        <sz val="11"/>
        <rFont val="Arial"/>
        <family val="2"/>
      </rPr>
      <t>, X</t>
    </r>
    <r>
      <rPr>
        <vertAlign val="subscript"/>
        <sz val="11"/>
        <rFont val="Arial"/>
        <family val="2"/>
      </rPr>
      <t>PAO</t>
    </r>
    <r>
      <rPr>
        <sz val="11"/>
        <rFont val="Arial"/>
        <family val="2"/>
      </rPr>
      <t>, X</t>
    </r>
    <r>
      <rPr>
        <vertAlign val="subscript"/>
        <sz val="11"/>
        <rFont val="Arial"/>
        <family val="2"/>
      </rPr>
      <t>ANO</t>
    </r>
    <r>
      <rPr>
        <sz val="11"/>
        <rFont val="Arial"/>
        <family val="2"/>
      </rPr>
      <t>)</t>
    </r>
  </si>
  <si>
    <r>
      <t>g N.g X</t>
    </r>
    <r>
      <rPr>
        <vertAlign val="subscript"/>
        <sz val="8"/>
        <rFont val="Arial"/>
        <family val="2"/>
      </rPr>
      <t>Bio</t>
    </r>
    <r>
      <rPr>
        <vertAlign val="superscript"/>
        <sz val="10"/>
        <rFont val="Arial"/>
        <family val="2"/>
      </rPr>
      <t>-1</t>
    </r>
  </si>
  <si>
    <r>
      <t>g N.g X</t>
    </r>
    <r>
      <rPr>
        <vertAlign val="subscript"/>
        <sz val="8"/>
        <rFont val="Arial"/>
        <family val="2"/>
      </rPr>
      <t>UE</t>
    </r>
    <r>
      <rPr>
        <vertAlign val="superscript"/>
        <sz val="10"/>
        <rFont val="Arial"/>
        <family val="2"/>
      </rPr>
      <t>-1</t>
    </r>
  </si>
  <si>
    <r>
      <t>-1/</t>
    </r>
    <r>
      <rPr>
        <i/>
        <sz val="12"/>
        <rFont val="Arial"/>
        <family val="2"/>
      </rPr>
      <t>Y</t>
    </r>
    <r>
      <rPr>
        <vertAlign val="subscript"/>
        <sz val="12"/>
        <rFont val="Arial"/>
        <family val="2"/>
      </rPr>
      <t xml:space="preserve">OHO </t>
    </r>
  </si>
  <si>
    <r>
      <t>-(1-</t>
    </r>
    <r>
      <rPr>
        <i/>
        <sz val="12"/>
        <rFont val="Arial"/>
        <family val="2"/>
      </rPr>
      <t>Y</t>
    </r>
    <r>
      <rPr>
        <vertAlign val="subscript"/>
        <sz val="12"/>
        <rFont val="Arial"/>
        <family val="2"/>
      </rPr>
      <t xml:space="preserve">OHO </t>
    </r>
    <r>
      <rPr>
        <sz val="12"/>
        <rFont val="Arial"/>
        <family val="2"/>
      </rPr>
      <t>)/</t>
    </r>
    <r>
      <rPr>
        <i/>
        <sz val="12"/>
        <rFont val="Arial"/>
        <family val="2"/>
      </rPr>
      <t>Y</t>
    </r>
    <r>
      <rPr>
        <vertAlign val="subscript"/>
        <sz val="12"/>
        <rFont val="Arial"/>
        <family val="2"/>
      </rPr>
      <t xml:space="preserve">OHO </t>
    </r>
  </si>
  <si>
    <r>
      <t>-</t>
    </r>
    <r>
      <rPr>
        <i/>
        <sz val="12"/>
        <rFont val="Arial"/>
        <family val="2"/>
      </rPr>
      <t>i</t>
    </r>
    <r>
      <rPr>
        <vertAlign val="subscript"/>
        <sz val="12"/>
        <rFont val="Arial"/>
        <family val="2"/>
      </rPr>
      <t>N_XBio</t>
    </r>
  </si>
  <si>
    <r>
      <t>-</t>
    </r>
    <r>
      <rPr>
        <i/>
        <sz val="12"/>
        <rFont val="Arial"/>
        <family val="2"/>
      </rPr>
      <t>i</t>
    </r>
    <r>
      <rPr>
        <vertAlign val="subscript"/>
        <sz val="12"/>
        <rFont val="Arial"/>
        <family val="2"/>
      </rPr>
      <t>N_XBio</t>
    </r>
    <r>
      <rPr>
        <sz val="12"/>
        <rFont val="Arial"/>
        <family val="2"/>
      </rPr>
      <t>*</t>
    </r>
    <r>
      <rPr>
        <i/>
        <sz val="12"/>
        <rFont val="Arial"/>
        <family val="2"/>
      </rPr>
      <t>i</t>
    </r>
    <r>
      <rPr>
        <vertAlign val="subscript"/>
        <sz val="12"/>
        <rFont val="Arial"/>
        <family val="2"/>
      </rPr>
      <t>Charge_NHx</t>
    </r>
  </si>
  <si>
    <r>
      <t>μ</t>
    </r>
    <r>
      <rPr>
        <vertAlign val="subscript"/>
        <sz val="12"/>
        <color indexed="8"/>
        <rFont val="Arial"/>
        <family val="2"/>
      </rPr>
      <t>OHO,Max</t>
    </r>
    <r>
      <rPr>
        <sz val="12"/>
        <color indexed="8"/>
        <rFont val="Arial"/>
        <family val="2"/>
      </rPr>
      <t>*[</t>
    </r>
    <r>
      <rPr>
        <i/>
        <sz val="12"/>
        <color indexed="8"/>
        <rFont val="Arial"/>
        <family val="2"/>
      </rPr>
      <t>S</t>
    </r>
    <r>
      <rPr>
        <vertAlign val="subscript"/>
        <sz val="12"/>
        <color indexed="8"/>
        <rFont val="Arial"/>
        <family val="2"/>
      </rPr>
      <t>B</t>
    </r>
    <r>
      <rPr>
        <sz val="12"/>
        <color indexed="8"/>
        <rFont val="Arial"/>
        <family val="2"/>
      </rPr>
      <t>/(</t>
    </r>
    <r>
      <rPr>
        <i/>
        <sz val="12"/>
        <color indexed="8"/>
        <rFont val="Arial"/>
        <family val="2"/>
      </rPr>
      <t>K</t>
    </r>
    <r>
      <rPr>
        <vertAlign val="subscript"/>
        <sz val="12"/>
        <color indexed="8"/>
        <rFont val="Arial"/>
        <family val="2"/>
      </rPr>
      <t>S</t>
    </r>
    <r>
      <rPr>
        <sz val="12"/>
        <color indexed="8"/>
        <rFont val="Arial"/>
        <family val="2"/>
      </rPr>
      <t>+</t>
    </r>
    <r>
      <rPr>
        <i/>
        <sz val="12"/>
        <color indexed="8"/>
        <rFont val="Arial"/>
        <family val="2"/>
      </rPr>
      <t>S</t>
    </r>
    <r>
      <rPr>
        <vertAlign val="subscript"/>
        <sz val="12"/>
        <color indexed="8"/>
        <rFont val="Arial"/>
        <family val="2"/>
      </rPr>
      <t>B</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NHX</t>
    </r>
    <r>
      <rPr>
        <sz val="12"/>
        <color indexed="10"/>
        <rFont val="Arial"/>
        <family val="2"/>
      </rPr>
      <t>/(</t>
    </r>
    <r>
      <rPr>
        <i/>
        <sz val="12"/>
        <color indexed="10"/>
        <rFont val="Arial"/>
        <family val="2"/>
      </rPr>
      <t>K</t>
    </r>
    <r>
      <rPr>
        <vertAlign val="subscript"/>
        <sz val="12"/>
        <color indexed="10"/>
        <rFont val="Arial"/>
        <family val="2"/>
      </rPr>
      <t>NHx,OHO</t>
    </r>
    <r>
      <rPr>
        <sz val="12"/>
        <color indexed="10"/>
        <rFont val="Arial"/>
        <family val="2"/>
      </rPr>
      <t>+</t>
    </r>
    <r>
      <rPr>
        <i/>
        <sz val="12"/>
        <color indexed="10"/>
        <rFont val="Arial"/>
        <family val="2"/>
      </rPr>
      <t>S</t>
    </r>
    <r>
      <rPr>
        <vertAlign val="subscript"/>
        <sz val="12"/>
        <color indexed="10"/>
        <rFont val="Arial"/>
        <family val="2"/>
      </rPr>
      <t>NHX</t>
    </r>
    <r>
      <rPr>
        <sz val="12"/>
        <color indexed="10"/>
        <rFont val="Arial"/>
        <family val="2"/>
      </rPr>
      <t>)]</t>
    </r>
    <r>
      <rPr>
        <sz val="12"/>
        <color indexed="8"/>
        <rFont val="Arial"/>
        <family val="2"/>
      </rPr>
      <t>*</t>
    </r>
    <r>
      <rPr>
        <i/>
        <sz val="12"/>
        <color indexed="8"/>
        <rFont val="Arial"/>
        <family val="2"/>
      </rPr>
      <t>X</t>
    </r>
    <r>
      <rPr>
        <vertAlign val="subscript"/>
        <sz val="12"/>
        <color indexed="8"/>
        <rFont val="Arial"/>
        <family val="2"/>
      </rPr>
      <t>OHO</t>
    </r>
  </si>
  <si>
    <r>
      <t>Conversion factor for NO</t>
    </r>
    <r>
      <rPr>
        <vertAlign val="subscript"/>
        <sz val="11"/>
        <color indexed="8"/>
        <rFont val="Arial"/>
        <family val="2"/>
      </rPr>
      <t>3</t>
    </r>
    <r>
      <rPr>
        <sz val="11"/>
        <color indexed="8"/>
        <rFont val="Arial"/>
        <family val="2"/>
      </rPr>
      <t xml:space="preserve"> reduction to N</t>
    </r>
    <r>
      <rPr>
        <vertAlign val="subscript"/>
        <sz val="11"/>
        <color indexed="8"/>
        <rFont val="Arial"/>
        <family val="2"/>
      </rPr>
      <t>2</t>
    </r>
  </si>
  <si>
    <r>
      <t>-(1-</t>
    </r>
    <r>
      <rPr>
        <i/>
        <sz val="12"/>
        <rFont val="Arial"/>
        <family val="2"/>
      </rPr>
      <t>Y</t>
    </r>
    <r>
      <rPr>
        <vertAlign val="subscript"/>
        <sz val="12"/>
        <rFont val="Arial"/>
        <family val="2"/>
      </rPr>
      <t xml:space="preserve">OHO </t>
    </r>
    <r>
      <rPr>
        <sz val="12"/>
        <rFont val="Arial"/>
        <family val="2"/>
      </rPr>
      <t>)/(</t>
    </r>
    <r>
      <rPr>
        <i/>
        <sz val="12"/>
        <rFont val="Arial"/>
        <family val="2"/>
      </rPr>
      <t>i</t>
    </r>
    <r>
      <rPr>
        <vertAlign val="subscript"/>
        <sz val="12"/>
        <rFont val="Arial"/>
        <family val="2"/>
      </rPr>
      <t>NOx,N2</t>
    </r>
    <r>
      <rPr>
        <sz val="12"/>
        <rFont val="Arial"/>
        <family val="2"/>
      </rPr>
      <t>*</t>
    </r>
    <r>
      <rPr>
        <i/>
        <sz val="12"/>
        <rFont val="Arial"/>
        <family val="2"/>
      </rPr>
      <t>Y</t>
    </r>
    <r>
      <rPr>
        <vertAlign val="subscript"/>
        <sz val="12"/>
        <rFont val="Arial"/>
        <family val="2"/>
      </rPr>
      <t xml:space="preserve">OHO </t>
    </r>
    <r>
      <rPr>
        <sz val="12"/>
        <rFont val="Arial"/>
        <family val="2"/>
      </rPr>
      <t>)</t>
    </r>
  </si>
  <si>
    <r>
      <t>-(1-</t>
    </r>
    <r>
      <rPr>
        <i/>
        <sz val="12"/>
        <rFont val="Arial"/>
        <family val="2"/>
      </rPr>
      <t>Y</t>
    </r>
    <r>
      <rPr>
        <vertAlign val="subscript"/>
        <sz val="12"/>
        <rFont val="Arial"/>
        <family val="2"/>
      </rPr>
      <t xml:space="preserve">OHO </t>
    </r>
    <r>
      <rPr>
        <sz val="12"/>
        <rFont val="Arial"/>
        <family val="2"/>
      </rPr>
      <t>)/(</t>
    </r>
    <r>
      <rPr>
        <i/>
        <sz val="12"/>
        <rFont val="Arial"/>
        <family val="2"/>
      </rPr>
      <t>i</t>
    </r>
    <r>
      <rPr>
        <vertAlign val="subscript"/>
        <sz val="12"/>
        <rFont val="Arial"/>
        <family val="2"/>
      </rPr>
      <t>NOx,N2</t>
    </r>
    <r>
      <rPr>
        <sz val="12"/>
        <rFont val="Arial"/>
        <family val="2"/>
      </rPr>
      <t>*</t>
    </r>
    <r>
      <rPr>
        <i/>
        <sz val="12"/>
        <rFont val="Arial"/>
        <family val="2"/>
      </rPr>
      <t>Y</t>
    </r>
    <r>
      <rPr>
        <vertAlign val="subscript"/>
        <sz val="12"/>
        <rFont val="Arial"/>
        <family val="2"/>
      </rPr>
      <t xml:space="preserve">OHO </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i</t>
    </r>
    <r>
      <rPr>
        <vertAlign val="subscript"/>
        <sz val="12"/>
        <rFont val="Arial"/>
        <family val="2"/>
      </rPr>
      <t>N_XBio</t>
    </r>
    <r>
      <rPr>
        <sz val="12"/>
        <rFont val="Arial"/>
        <family val="2"/>
      </rPr>
      <t>*</t>
    </r>
    <r>
      <rPr>
        <i/>
        <sz val="12"/>
        <rFont val="Arial"/>
        <family val="2"/>
      </rPr>
      <t>i</t>
    </r>
    <r>
      <rPr>
        <vertAlign val="subscript"/>
        <sz val="12"/>
        <rFont val="Arial"/>
        <family val="2"/>
      </rPr>
      <t>Charge_NHx</t>
    </r>
  </si>
  <si>
    <r>
      <t>(1-</t>
    </r>
    <r>
      <rPr>
        <i/>
        <sz val="12"/>
        <color indexed="10"/>
        <rFont val="Arial"/>
        <family val="2"/>
      </rPr>
      <t>Y</t>
    </r>
    <r>
      <rPr>
        <vertAlign val="subscript"/>
        <sz val="12"/>
        <color indexed="10"/>
        <rFont val="Arial"/>
        <family val="2"/>
      </rPr>
      <t xml:space="preserve">OHO </t>
    </r>
    <r>
      <rPr>
        <sz val="12"/>
        <color indexed="10"/>
        <rFont val="Arial"/>
        <family val="2"/>
      </rPr>
      <t>)/(</t>
    </r>
    <r>
      <rPr>
        <i/>
        <sz val="12"/>
        <color indexed="10"/>
        <rFont val="Arial"/>
        <family val="2"/>
      </rPr>
      <t>i</t>
    </r>
    <r>
      <rPr>
        <vertAlign val="subscript"/>
        <sz val="12"/>
        <color indexed="10"/>
        <rFont val="Arial"/>
        <family val="2"/>
      </rPr>
      <t>NOx,N2</t>
    </r>
    <r>
      <rPr>
        <sz val="12"/>
        <color indexed="10"/>
        <rFont val="Arial"/>
        <family val="2"/>
      </rPr>
      <t>*</t>
    </r>
    <r>
      <rPr>
        <i/>
        <sz val="12"/>
        <color indexed="10"/>
        <rFont val="Arial"/>
        <family val="2"/>
      </rPr>
      <t>Y</t>
    </r>
    <r>
      <rPr>
        <vertAlign val="subscript"/>
        <sz val="12"/>
        <color indexed="10"/>
        <rFont val="Arial"/>
        <family val="2"/>
      </rPr>
      <t xml:space="preserve">OHO </t>
    </r>
    <r>
      <rPr>
        <sz val="12"/>
        <color indexed="10"/>
        <rFont val="Arial"/>
        <family val="2"/>
      </rPr>
      <t>)</t>
    </r>
  </si>
  <si>
    <r>
      <t>μ</t>
    </r>
    <r>
      <rPr>
        <vertAlign val="subscript"/>
        <sz val="12"/>
        <color indexed="8"/>
        <rFont val="Arial"/>
        <family val="2"/>
      </rPr>
      <t>OHO,Max</t>
    </r>
    <r>
      <rPr>
        <sz val="12"/>
        <color indexed="8"/>
        <rFont val="Arial"/>
        <family val="2"/>
      </rPr>
      <t>*[</t>
    </r>
    <r>
      <rPr>
        <i/>
        <sz val="12"/>
        <color indexed="8"/>
        <rFont val="Arial"/>
        <family val="2"/>
      </rPr>
      <t>S</t>
    </r>
    <r>
      <rPr>
        <vertAlign val="subscript"/>
        <sz val="12"/>
        <color indexed="8"/>
        <rFont val="Arial"/>
        <family val="2"/>
      </rPr>
      <t>B</t>
    </r>
    <r>
      <rPr>
        <sz val="12"/>
        <color indexed="8"/>
        <rFont val="Arial"/>
        <family val="2"/>
      </rPr>
      <t>/(</t>
    </r>
    <r>
      <rPr>
        <i/>
        <sz val="12"/>
        <color indexed="8"/>
        <rFont val="Arial"/>
        <family val="2"/>
      </rPr>
      <t>K</t>
    </r>
    <r>
      <rPr>
        <vertAlign val="subscript"/>
        <sz val="12"/>
        <color indexed="8"/>
        <rFont val="Arial"/>
        <family val="2"/>
      </rPr>
      <t>S</t>
    </r>
    <r>
      <rPr>
        <sz val="12"/>
        <color indexed="8"/>
        <rFont val="Arial"/>
        <family val="2"/>
      </rPr>
      <t>+</t>
    </r>
    <r>
      <rPr>
        <i/>
        <sz val="12"/>
        <color indexed="8"/>
        <rFont val="Arial"/>
        <family val="2"/>
      </rPr>
      <t>S</t>
    </r>
    <r>
      <rPr>
        <vertAlign val="subscript"/>
        <sz val="12"/>
        <color indexed="8"/>
        <rFont val="Arial"/>
        <family val="2"/>
      </rPr>
      <t>B</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NHX</t>
    </r>
    <r>
      <rPr>
        <sz val="12"/>
        <color indexed="10"/>
        <rFont val="Arial"/>
        <family val="2"/>
      </rPr>
      <t>/(</t>
    </r>
    <r>
      <rPr>
        <i/>
        <sz val="12"/>
        <color indexed="10"/>
        <rFont val="Arial"/>
        <family val="2"/>
      </rPr>
      <t>K</t>
    </r>
    <r>
      <rPr>
        <vertAlign val="subscript"/>
        <sz val="12"/>
        <color indexed="10"/>
        <rFont val="Arial"/>
        <family val="2"/>
      </rPr>
      <t>NHx,OHO</t>
    </r>
    <r>
      <rPr>
        <sz val="12"/>
        <color indexed="10"/>
        <rFont val="Arial"/>
        <family val="2"/>
      </rPr>
      <t>+</t>
    </r>
    <r>
      <rPr>
        <i/>
        <sz val="12"/>
        <color indexed="10"/>
        <rFont val="Arial"/>
        <family val="2"/>
      </rPr>
      <t>S</t>
    </r>
    <r>
      <rPr>
        <vertAlign val="subscript"/>
        <sz val="12"/>
        <color indexed="10"/>
        <rFont val="Arial"/>
        <family val="2"/>
      </rPr>
      <t>NHX</t>
    </r>
    <r>
      <rPr>
        <sz val="12"/>
        <color indexed="10"/>
        <rFont val="Arial"/>
        <family val="2"/>
      </rPr>
      <t>)]</t>
    </r>
    <r>
      <rPr>
        <sz val="12"/>
        <color indexed="8"/>
        <rFont val="Arial"/>
        <family val="2"/>
      </rPr>
      <t>*</t>
    </r>
    <r>
      <rPr>
        <i/>
        <sz val="12"/>
        <color indexed="8"/>
        <rFont val="Arial"/>
        <family val="2"/>
      </rPr>
      <t>n</t>
    </r>
    <r>
      <rPr>
        <vertAlign val="subscript"/>
        <sz val="12"/>
        <color indexed="8"/>
        <rFont val="Arial"/>
        <family val="2"/>
      </rPr>
      <t>μOHO,Ax</t>
    </r>
    <r>
      <rPr>
        <sz val="12"/>
        <color indexed="8"/>
        <rFont val="Arial"/>
        <family val="2"/>
      </rPr>
      <t>*</t>
    </r>
    <r>
      <rPr>
        <i/>
        <sz val="12"/>
        <color indexed="8"/>
        <rFont val="Arial"/>
        <family val="2"/>
      </rPr>
      <t>X</t>
    </r>
    <r>
      <rPr>
        <vertAlign val="subscript"/>
        <sz val="12"/>
        <color indexed="8"/>
        <rFont val="Arial"/>
        <family val="2"/>
      </rPr>
      <t>OHO</t>
    </r>
  </si>
  <si>
    <r>
      <t>Conversion factor for NO</t>
    </r>
    <r>
      <rPr>
        <vertAlign val="subscript"/>
        <sz val="11"/>
        <color indexed="8"/>
        <rFont val="Arial"/>
        <family val="2"/>
      </rPr>
      <t>3</t>
    </r>
    <r>
      <rPr>
        <sz val="11"/>
        <color indexed="8"/>
        <rFont val="Arial"/>
        <family val="2"/>
      </rPr>
      <t xml:space="preserve"> in COD</t>
    </r>
  </si>
  <si>
    <r>
      <t>-(-</t>
    </r>
    <r>
      <rPr>
        <i/>
        <sz val="12"/>
        <rFont val="Arial"/>
        <family val="2"/>
      </rPr>
      <t>i</t>
    </r>
    <r>
      <rPr>
        <vertAlign val="subscript"/>
        <sz val="12"/>
        <rFont val="Arial"/>
        <family val="2"/>
      </rPr>
      <t>COD_NOx</t>
    </r>
    <r>
      <rPr>
        <sz val="12"/>
        <rFont val="Arial"/>
        <family val="2"/>
      </rPr>
      <t>-</t>
    </r>
    <r>
      <rPr>
        <i/>
        <sz val="12"/>
        <rFont val="Arial"/>
        <family val="2"/>
      </rPr>
      <t>Y</t>
    </r>
    <r>
      <rPr>
        <vertAlign val="subscript"/>
        <sz val="12"/>
        <rFont val="Arial"/>
        <family val="2"/>
      </rPr>
      <t xml:space="preserve">ANO </t>
    </r>
    <r>
      <rPr>
        <sz val="12"/>
        <rFont val="Arial"/>
        <family val="2"/>
      </rPr>
      <t>)/</t>
    </r>
    <r>
      <rPr>
        <i/>
        <sz val="12"/>
        <rFont val="Arial"/>
        <family val="2"/>
      </rPr>
      <t>Y</t>
    </r>
    <r>
      <rPr>
        <vertAlign val="subscript"/>
        <sz val="12"/>
        <rFont val="Arial"/>
        <family val="2"/>
      </rPr>
      <t xml:space="preserve">ANO </t>
    </r>
  </si>
  <si>
    <r>
      <t>1/</t>
    </r>
    <r>
      <rPr>
        <i/>
        <sz val="12"/>
        <rFont val="Arial"/>
        <family val="2"/>
      </rPr>
      <t>Y</t>
    </r>
    <r>
      <rPr>
        <vertAlign val="subscript"/>
        <sz val="12"/>
        <rFont val="Arial"/>
        <family val="2"/>
      </rPr>
      <t xml:space="preserve">ANO </t>
    </r>
  </si>
  <si>
    <r>
      <t>-</t>
    </r>
    <r>
      <rPr>
        <i/>
        <sz val="12"/>
        <rFont val="Arial"/>
        <family val="2"/>
      </rPr>
      <t>i</t>
    </r>
    <r>
      <rPr>
        <vertAlign val="subscript"/>
        <sz val="12"/>
        <rFont val="Arial"/>
        <family val="2"/>
      </rPr>
      <t>N_XBio</t>
    </r>
    <r>
      <rPr>
        <sz val="12"/>
        <rFont val="Arial"/>
        <family val="2"/>
      </rPr>
      <t>-1/</t>
    </r>
    <r>
      <rPr>
        <i/>
        <sz val="12"/>
        <rFont val="Arial"/>
        <family val="2"/>
      </rPr>
      <t>Y</t>
    </r>
    <r>
      <rPr>
        <vertAlign val="subscript"/>
        <sz val="12"/>
        <rFont val="Arial"/>
        <family val="2"/>
      </rPr>
      <t xml:space="preserve">ANO </t>
    </r>
  </si>
  <si>
    <r>
      <t>-(</t>
    </r>
    <r>
      <rPr>
        <i/>
        <sz val="12"/>
        <rFont val="Arial"/>
        <family val="2"/>
      </rPr>
      <t>i</t>
    </r>
    <r>
      <rPr>
        <vertAlign val="subscript"/>
        <sz val="12"/>
        <rFont val="Arial"/>
        <family val="2"/>
      </rPr>
      <t>N_XBio</t>
    </r>
    <r>
      <rPr>
        <sz val="12"/>
        <rFont val="Arial"/>
        <family val="2"/>
      </rPr>
      <t>+1/</t>
    </r>
    <r>
      <rPr>
        <i/>
        <sz val="12"/>
        <rFont val="Arial"/>
        <family val="2"/>
      </rPr>
      <t>Y</t>
    </r>
    <r>
      <rPr>
        <vertAlign val="subscript"/>
        <sz val="12"/>
        <rFont val="Arial"/>
        <family val="2"/>
      </rPr>
      <t xml:space="preserve">ANO </t>
    </r>
    <r>
      <rPr>
        <sz val="12"/>
        <rFont val="Arial"/>
        <family val="2"/>
      </rPr>
      <t>)*</t>
    </r>
    <r>
      <rPr>
        <i/>
        <sz val="12"/>
        <rFont val="Arial"/>
        <family val="2"/>
      </rPr>
      <t>i</t>
    </r>
    <r>
      <rPr>
        <vertAlign val="subscript"/>
        <sz val="12"/>
        <rFont val="Arial"/>
        <family val="2"/>
      </rPr>
      <t>Charge_NHx</t>
    </r>
    <r>
      <rPr>
        <sz val="12"/>
        <rFont val="Arial"/>
        <family val="2"/>
      </rPr>
      <t>+(1/</t>
    </r>
    <r>
      <rPr>
        <i/>
        <sz val="12"/>
        <rFont val="Arial"/>
        <family val="2"/>
      </rPr>
      <t>Y</t>
    </r>
    <r>
      <rPr>
        <vertAlign val="subscript"/>
        <sz val="12"/>
        <rFont val="Arial"/>
        <family val="2"/>
      </rPr>
      <t xml:space="preserve">ANO </t>
    </r>
    <r>
      <rPr>
        <sz val="12"/>
        <rFont val="Arial"/>
        <family val="2"/>
      </rPr>
      <t>)*</t>
    </r>
    <r>
      <rPr>
        <i/>
        <sz val="12"/>
        <rFont val="Arial"/>
        <family val="2"/>
      </rPr>
      <t>i</t>
    </r>
    <r>
      <rPr>
        <vertAlign val="subscript"/>
        <sz val="12"/>
        <rFont val="Arial"/>
        <family val="2"/>
      </rPr>
      <t>Charge_NOx</t>
    </r>
  </si>
  <si>
    <r>
      <t>μ</t>
    </r>
    <r>
      <rPr>
        <vertAlign val="subscript"/>
        <sz val="12"/>
        <color indexed="8"/>
        <rFont val="Arial"/>
        <family val="2"/>
      </rPr>
      <t>ANO,Max</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NHx,ANO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O2,ANO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X</t>
    </r>
    <r>
      <rPr>
        <vertAlign val="subscript"/>
        <sz val="12"/>
        <color indexed="8"/>
        <rFont val="Arial"/>
        <family val="2"/>
      </rPr>
      <t>ANO</t>
    </r>
  </si>
  <si>
    <r>
      <t>Conversion factor for N</t>
    </r>
    <r>
      <rPr>
        <vertAlign val="subscript"/>
        <sz val="11"/>
        <color indexed="8"/>
        <rFont val="Arial"/>
        <family val="2"/>
      </rPr>
      <t>2</t>
    </r>
    <r>
      <rPr>
        <sz val="11"/>
        <color indexed="8"/>
        <rFont val="Arial"/>
        <family val="2"/>
      </rPr>
      <t xml:space="preserve"> in COD</t>
    </r>
  </si>
  <si>
    <r>
      <t>1-</t>
    </r>
    <r>
      <rPr>
        <i/>
        <sz val="12"/>
        <rFont val="Arial"/>
        <family val="2"/>
      </rPr>
      <t>f</t>
    </r>
    <r>
      <rPr>
        <vertAlign val="subscript"/>
        <sz val="12"/>
        <rFont val="Arial"/>
        <family val="2"/>
      </rPr>
      <t>XU_Bio,lys</t>
    </r>
  </si>
  <si>
    <r>
      <t>i</t>
    </r>
    <r>
      <rPr>
        <vertAlign val="subscript"/>
        <sz val="12"/>
        <rFont val="Arial"/>
        <family val="2"/>
      </rPr>
      <t>N_XBio</t>
    </r>
    <r>
      <rPr>
        <sz val="12"/>
        <rFont val="Arial"/>
        <family val="2"/>
      </rPr>
      <t>-</t>
    </r>
    <r>
      <rPr>
        <i/>
        <sz val="12"/>
        <rFont val="Arial"/>
        <family val="2"/>
      </rPr>
      <t>f</t>
    </r>
    <r>
      <rPr>
        <vertAlign val="subscript"/>
        <sz val="12"/>
        <rFont val="Arial"/>
        <family val="2"/>
      </rPr>
      <t>XU_Bio,lys</t>
    </r>
    <r>
      <rPr>
        <sz val="12"/>
        <rFont val="Arial"/>
        <family val="2"/>
      </rPr>
      <t>*</t>
    </r>
    <r>
      <rPr>
        <i/>
        <sz val="12"/>
        <rFont val="Arial"/>
        <family val="2"/>
      </rPr>
      <t>i</t>
    </r>
    <r>
      <rPr>
        <vertAlign val="subscript"/>
        <sz val="12"/>
        <rFont val="Arial"/>
        <family val="2"/>
      </rPr>
      <t>N_XUE</t>
    </r>
  </si>
  <si>
    <r>
      <t>b</t>
    </r>
    <r>
      <rPr>
        <vertAlign val="subscript"/>
        <sz val="12"/>
        <color indexed="8"/>
        <rFont val="Arial"/>
        <family val="2"/>
      </rPr>
      <t>OHO</t>
    </r>
    <r>
      <rPr>
        <sz val="12"/>
        <color indexed="8"/>
        <rFont val="Arial"/>
        <family val="2"/>
      </rPr>
      <t>*</t>
    </r>
    <r>
      <rPr>
        <i/>
        <sz val="12"/>
        <color indexed="8"/>
        <rFont val="Arial"/>
        <family val="2"/>
      </rPr>
      <t>X</t>
    </r>
    <r>
      <rPr>
        <vertAlign val="subscript"/>
        <sz val="12"/>
        <color indexed="8"/>
        <rFont val="Arial"/>
        <family val="2"/>
      </rPr>
      <t>OHO</t>
    </r>
  </si>
  <si>
    <r>
      <t>Conversion factor for NH</t>
    </r>
    <r>
      <rPr>
        <vertAlign val="subscript"/>
        <sz val="11"/>
        <color indexed="8"/>
        <rFont val="Arial"/>
        <family val="2"/>
      </rPr>
      <t>x</t>
    </r>
    <r>
      <rPr>
        <sz val="11"/>
        <color indexed="8"/>
        <rFont val="Arial"/>
        <family val="2"/>
      </rPr>
      <t xml:space="preserve"> in charge</t>
    </r>
  </si>
  <si>
    <r>
      <t>b</t>
    </r>
    <r>
      <rPr>
        <vertAlign val="subscript"/>
        <sz val="12"/>
        <color indexed="8"/>
        <rFont val="Arial"/>
        <family val="2"/>
      </rPr>
      <t>ANO</t>
    </r>
    <r>
      <rPr>
        <sz val="12"/>
        <color indexed="8"/>
        <rFont val="Arial"/>
        <family val="2"/>
      </rPr>
      <t>*</t>
    </r>
    <r>
      <rPr>
        <i/>
        <sz val="12"/>
        <color indexed="8"/>
        <rFont val="Arial"/>
        <family val="2"/>
      </rPr>
      <t>X</t>
    </r>
    <r>
      <rPr>
        <vertAlign val="subscript"/>
        <sz val="12"/>
        <color indexed="8"/>
        <rFont val="Arial"/>
        <family val="2"/>
      </rPr>
      <t>ANO</t>
    </r>
  </si>
  <si>
    <r>
      <t>Conversion factor for NO</t>
    </r>
    <r>
      <rPr>
        <vertAlign val="subscript"/>
        <sz val="11"/>
        <color indexed="8"/>
        <rFont val="Arial"/>
        <family val="2"/>
      </rPr>
      <t>3</t>
    </r>
    <r>
      <rPr>
        <sz val="11"/>
        <color indexed="8"/>
        <rFont val="Arial"/>
        <family val="2"/>
      </rPr>
      <t xml:space="preserve"> in charge</t>
    </r>
  </si>
  <si>
    <r>
      <t>q</t>
    </r>
    <r>
      <rPr>
        <vertAlign val="subscript"/>
        <sz val="12"/>
        <color indexed="8"/>
        <rFont val="Arial"/>
        <family val="2"/>
      </rPr>
      <t>am</t>
    </r>
    <r>
      <rPr>
        <sz val="12"/>
        <color indexed="8"/>
        <rFont val="Arial"/>
        <family val="2"/>
      </rPr>
      <t>*</t>
    </r>
    <r>
      <rPr>
        <i/>
        <sz val="12"/>
        <color indexed="8"/>
        <rFont val="Arial"/>
        <family val="2"/>
      </rPr>
      <t>S</t>
    </r>
    <r>
      <rPr>
        <vertAlign val="subscript"/>
        <sz val="12"/>
        <color indexed="8"/>
        <rFont val="Arial"/>
        <family val="2"/>
      </rPr>
      <t>B,N</t>
    </r>
    <r>
      <rPr>
        <sz val="12"/>
        <color indexed="8"/>
        <rFont val="Arial"/>
        <family val="2"/>
      </rPr>
      <t>*</t>
    </r>
    <r>
      <rPr>
        <i/>
        <sz val="12"/>
        <color indexed="8"/>
        <rFont val="Arial"/>
        <family val="2"/>
      </rPr>
      <t>X</t>
    </r>
    <r>
      <rPr>
        <vertAlign val="subscript"/>
        <sz val="12"/>
        <color indexed="8"/>
        <rFont val="Arial"/>
        <family val="2"/>
      </rPr>
      <t>OHO</t>
    </r>
  </si>
  <si>
    <r>
      <t>g XC</t>
    </r>
    <r>
      <rPr>
        <vertAlign val="subscript"/>
        <sz val="8"/>
        <rFont val="Arial"/>
        <family val="2"/>
      </rPr>
      <t>B</t>
    </r>
    <r>
      <rPr>
        <sz val="8"/>
        <rFont val="Arial"/>
        <family val="2"/>
      </rPr>
      <t>.g X</t>
    </r>
    <r>
      <rPr>
        <vertAlign val="subscript"/>
        <sz val="8"/>
        <rFont val="Arial"/>
        <family val="2"/>
      </rPr>
      <t>OHO</t>
    </r>
    <r>
      <rPr>
        <vertAlign val="superscript"/>
        <sz val="8"/>
        <rFont val="Arial"/>
        <family val="2"/>
      </rPr>
      <t>-1</t>
    </r>
    <r>
      <rPr>
        <sz val="8"/>
        <rFont val="Arial"/>
        <family val="2"/>
      </rPr>
      <t>.d</t>
    </r>
    <r>
      <rPr>
        <vertAlign val="superscript"/>
        <sz val="10"/>
        <rFont val="Arial"/>
        <family val="2"/>
      </rPr>
      <t>-1</t>
    </r>
  </si>
  <si>
    <r>
      <t>q</t>
    </r>
    <r>
      <rPr>
        <vertAlign val="subscript"/>
        <sz val="12"/>
        <color indexed="8"/>
        <rFont val="Arial"/>
        <family val="2"/>
      </rPr>
      <t>XCB_SB,hyd</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K</t>
    </r>
    <r>
      <rPr>
        <vertAlign val="subscript"/>
        <sz val="12"/>
        <color indexed="8"/>
        <rFont val="Arial"/>
        <family val="2"/>
      </rPr>
      <t>XB,hyd</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n</t>
    </r>
    <r>
      <rPr>
        <vertAlign val="subscript"/>
        <sz val="12"/>
        <color indexed="8"/>
        <rFont val="Arial"/>
        <family val="2"/>
      </rPr>
      <t>qhyd,Ax</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OHO</t>
    </r>
  </si>
  <si>
    <r>
      <t>Saturation coefficient for X</t>
    </r>
    <r>
      <rPr>
        <vertAlign val="subscript"/>
        <sz val="11"/>
        <rFont val="Arial"/>
        <family val="2"/>
      </rPr>
      <t>B</t>
    </r>
    <r>
      <rPr>
        <sz val="11"/>
        <rFont val="Arial"/>
        <family val="2"/>
      </rPr>
      <t>/X</t>
    </r>
    <r>
      <rPr>
        <vertAlign val="subscript"/>
        <sz val="11"/>
        <rFont val="Arial"/>
        <family val="2"/>
      </rPr>
      <t>OHO</t>
    </r>
  </si>
  <si>
    <r>
      <t>g XC</t>
    </r>
    <r>
      <rPr>
        <vertAlign val="subscript"/>
        <sz val="8"/>
        <rFont val="Arial"/>
        <family val="2"/>
      </rPr>
      <t>B</t>
    </r>
    <r>
      <rPr>
        <sz val="8"/>
        <rFont val="Arial"/>
        <family val="2"/>
      </rPr>
      <t>.g X</t>
    </r>
    <r>
      <rPr>
        <vertAlign val="subscript"/>
        <sz val="8"/>
        <rFont val="Arial"/>
        <family val="2"/>
      </rPr>
      <t>OHO</t>
    </r>
    <r>
      <rPr>
        <vertAlign val="superscript"/>
        <sz val="10"/>
        <rFont val="Arial"/>
        <family val="2"/>
      </rPr>
      <t>-1</t>
    </r>
  </si>
  <si>
    <r>
      <t>q</t>
    </r>
    <r>
      <rPr>
        <vertAlign val="subscript"/>
        <sz val="12"/>
        <color indexed="8"/>
        <rFont val="Arial"/>
        <family val="2"/>
      </rPr>
      <t>XCB_SB,hyd</t>
    </r>
    <r>
      <rPr>
        <sz val="12"/>
        <color indexed="8"/>
        <rFont val="Arial"/>
        <family val="2"/>
      </rPr>
      <t>*(</t>
    </r>
    <r>
      <rPr>
        <i/>
        <sz val="12"/>
        <color indexed="8"/>
        <rFont val="Arial"/>
        <family val="2"/>
      </rPr>
      <t>XC</t>
    </r>
    <r>
      <rPr>
        <vertAlign val="subscript"/>
        <sz val="12"/>
        <color indexed="8"/>
        <rFont val="Arial"/>
        <family val="2"/>
      </rPr>
      <t>B,N</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K</t>
    </r>
    <r>
      <rPr>
        <vertAlign val="subscript"/>
        <sz val="12"/>
        <color indexed="8"/>
        <rFont val="Arial"/>
        <family val="2"/>
      </rPr>
      <t>XB,hyd</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n</t>
    </r>
    <r>
      <rPr>
        <vertAlign val="subscript"/>
        <sz val="12"/>
        <color indexed="8"/>
        <rFont val="Arial"/>
        <family val="2"/>
      </rPr>
      <t>qhyd,Ax</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t>
    </r>
    <r>
      <rPr>
        <vertAlign val="subscript"/>
        <sz val="12"/>
        <color indexed="8"/>
        <rFont val="Arial"/>
        <family val="2"/>
      </rPr>
      <t>OHO</t>
    </r>
  </si>
  <si>
    <r>
      <t>d</t>
    </r>
    <r>
      <rPr>
        <vertAlign val="superscript"/>
        <sz val="10"/>
        <rFont val="Arial"/>
        <family val="2"/>
      </rPr>
      <t>-1</t>
    </r>
  </si>
  <si>
    <r>
      <t>Half saturation parameter for S</t>
    </r>
    <r>
      <rPr>
        <vertAlign val="subscript"/>
        <sz val="10"/>
        <rFont val="Arial"/>
        <family val="2"/>
      </rPr>
      <t>B</t>
    </r>
  </si>
  <si>
    <r>
      <t>g S</t>
    </r>
    <r>
      <rPr>
        <vertAlign val="subscript"/>
        <sz val="8"/>
        <rFont val="Arial"/>
        <family val="2"/>
      </rPr>
      <t>B</t>
    </r>
    <r>
      <rPr>
        <sz val="8"/>
        <rFont val="Arial"/>
        <family val="2"/>
      </rPr>
      <t>.m</t>
    </r>
    <r>
      <rPr>
        <vertAlign val="superscript"/>
        <sz val="10"/>
        <rFont val="Arial"/>
        <family val="2"/>
      </rPr>
      <t>-3</t>
    </r>
  </si>
  <si>
    <r>
      <t>Decay rate for X</t>
    </r>
    <r>
      <rPr>
        <vertAlign val="subscript"/>
        <sz val="10"/>
        <rFont val="Arial"/>
        <family val="2"/>
      </rPr>
      <t>OHO</t>
    </r>
  </si>
  <si>
    <r>
      <t>Half saturation parameter for S</t>
    </r>
    <r>
      <rPr>
        <vertAlign val="subscript"/>
        <sz val="10"/>
        <rFont val="Arial"/>
        <family val="2"/>
      </rPr>
      <t>O2</t>
    </r>
  </si>
  <si>
    <r>
      <t>g S</t>
    </r>
    <r>
      <rPr>
        <vertAlign val="subscript"/>
        <sz val="8"/>
        <rFont val="Arial"/>
        <family val="2"/>
      </rPr>
      <t>O2</t>
    </r>
    <r>
      <rPr>
        <sz val="8"/>
        <rFont val="Arial"/>
        <family val="2"/>
      </rPr>
      <t>.m</t>
    </r>
    <r>
      <rPr>
        <vertAlign val="superscript"/>
        <sz val="10"/>
        <rFont val="Arial"/>
        <family val="2"/>
      </rPr>
      <t>-3</t>
    </r>
  </si>
  <si>
    <r>
      <t>Half saturation parameter for S</t>
    </r>
    <r>
      <rPr>
        <vertAlign val="subscript"/>
        <sz val="10"/>
        <rFont val="Arial"/>
        <family val="2"/>
      </rPr>
      <t>NOx</t>
    </r>
  </si>
  <si>
    <r>
      <t>g S</t>
    </r>
    <r>
      <rPr>
        <vertAlign val="subscript"/>
        <sz val="8"/>
        <rFont val="Arial"/>
        <family val="2"/>
      </rPr>
      <t>NOx</t>
    </r>
    <r>
      <rPr>
        <sz val="8"/>
        <rFont val="Arial"/>
        <family val="2"/>
      </rPr>
      <t>.m</t>
    </r>
    <r>
      <rPr>
        <vertAlign val="superscript"/>
        <sz val="10"/>
        <rFont val="Arial"/>
        <family val="2"/>
      </rPr>
      <t>-3</t>
    </r>
  </si>
  <si>
    <r>
      <t>g S</t>
    </r>
    <r>
      <rPr>
        <b/>
        <vertAlign val="subscript"/>
        <sz val="8"/>
        <color indexed="10"/>
        <rFont val="Arial"/>
        <family val="2"/>
      </rPr>
      <t>NHx</t>
    </r>
    <r>
      <rPr>
        <b/>
        <sz val="8"/>
        <color indexed="10"/>
        <rFont val="Arial"/>
        <family val="2"/>
      </rPr>
      <t>.m</t>
    </r>
    <r>
      <rPr>
        <b/>
        <vertAlign val="superscript"/>
        <sz val="10"/>
        <color indexed="10"/>
        <rFont val="Arial"/>
        <family val="2"/>
      </rPr>
      <t>-3</t>
    </r>
  </si>
  <si>
    <r>
      <t>Maximum growth rate of X</t>
    </r>
    <r>
      <rPr>
        <vertAlign val="subscript"/>
        <sz val="10"/>
        <rFont val="Arial"/>
        <family val="2"/>
      </rPr>
      <t>ANO</t>
    </r>
  </si>
  <si>
    <r>
      <t>Decay rate for X</t>
    </r>
    <r>
      <rPr>
        <vertAlign val="subscript"/>
        <sz val="10"/>
        <rFont val="Arial"/>
        <family val="2"/>
      </rPr>
      <t>ANO</t>
    </r>
  </si>
  <si>
    <r>
      <t>m</t>
    </r>
    <r>
      <rPr>
        <vertAlign val="superscript"/>
        <sz val="8"/>
        <rFont val="Arial"/>
        <family val="2"/>
      </rPr>
      <t>3</t>
    </r>
    <r>
      <rPr>
        <sz val="8"/>
        <rFont val="Arial"/>
        <family val="2"/>
      </rPr>
      <t>.g XC</t>
    </r>
    <r>
      <rPr>
        <vertAlign val="subscript"/>
        <sz val="8"/>
        <rFont val="Arial"/>
        <family val="2"/>
      </rPr>
      <t>B,N</t>
    </r>
    <r>
      <rPr>
        <vertAlign val="superscript"/>
        <sz val="8"/>
        <rFont val="Arial"/>
        <family val="2"/>
      </rPr>
      <t>-1</t>
    </r>
    <r>
      <rPr>
        <sz val="8"/>
        <rFont val="Arial"/>
        <family val="2"/>
      </rPr>
      <t>.d</t>
    </r>
    <r>
      <rPr>
        <vertAlign val="superscript"/>
        <sz val="10"/>
        <rFont val="Arial"/>
        <family val="2"/>
      </rPr>
      <t>-1</t>
    </r>
  </si>
  <si>
    <r>
      <t>S</t>
    </r>
    <r>
      <rPr>
        <vertAlign val="subscript"/>
        <sz val="10"/>
        <color indexed="8"/>
        <rFont val="Arial"/>
        <family val="2"/>
      </rPr>
      <t>_I</t>
    </r>
  </si>
  <si>
    <r>
      <t>S</t>
    </r>
    <r>
      <rPr>
        <vertAlign val="subscript"/>
        <sz val="10"/>
        <color indexed="8"/>
        <rFont val="Arial"/>
        <family val="2"/>
      </rPr>
      <t>_S</t>
    </r>
  </si>
  <si>
    <r>
      <t>Half saturation parameter for S</t>
    </r>
    <r>
      <rPr>
        <vertAlign val="subscript"/>
        <sz val="10"/>
        <rFont val="Arial"/>
        <family val="2"/>
      </rPr>
      <t>NHx</t>
    </r>
  </si>
  <si>
    <r>
      <t>g S</t>
    </r>
    <r>
      <rPr>
        <vertAlign val="subscript"/>
        <sz val="8"/>
        <rFont val="Arial"/>
        <family val="2"/>
      </rPr>
      <t>NHx</t>
    </r>
    <r>
      <rPr>
        <sz val="8"/>
        <rFont val="Arial"/>
        <family val="2"/>
      </rPr>
      <t>.m</t>
    </r>
    <r>
      <rPr>
        <vertAlign val="superscript"/>
        <sz val="10"/>
        <rFont val="Arial"/>
        <family val="2"/>
      </rPr>
      <t>-3</t>
    </r>
  </si>
  <si>
    <r>
      <t>X</t>
    </r>
    <r>
      <rPr>
        <vertAlign val="subscript"/>
        <sz val="10"/>
        <color indexed="8"/>
        <rFont val="Arial"/>
        <family val="2"/>
      </rPr>
      <t>_I</t>
    </r>
  </si>
  <si>
    <r>
      <t>X</t>
    </r>
    <r>
      <rPr>
        <vertAlign val="subscript"/>
        <sz val="10"/>
        <color indexed="8"/>
        <rFont val="Arial"/>
        <family val="2"/>
      </rPr>
      <t>_S</t>
    </r>
  </si>
  <si>
    <r>
      <t>*same K</t>
    </r>
    <r>
      <rPr>
        <b/>
        <vertAlign val="subscript"/>
        <sz val="11"/>
        <color indexed="10"/>
        <rFont val="Arial"/>
        <family val="2"/>
      </rPr>
      <t>NH,H</t>
    </r>
    <r>
      <rPr>
        <b/>
        <sz val="11"/>
        <color indexed="10"/>
        <rFont val="Arial"/>
        <family val="2"/>
      </rPr>
      <t xml:space="preserve"> value as ASM2d has been chosen</t>
    </r>
  </si>
  <si>
    <r>
      <t>X</t>
    </r>
    <r>
      <rPr>
        <vertAlign val="subscript"/>
        <sz val="10"/>
        <color indexed="8"/>
        <rFont val="Arial"/>
        <family val="2"/>
      </rPr>
      <t>_B.H</t>
    </r>
  </si>
  <si>
    <r>
      <t>X</t>
    </r>
    <r>
      <rPr>
        <vertAlign val="subscript"/>
        <sz val="10"/>
        <color indexed="8"/>
        <rFont val="Arial"/>
        <family val="2"/>
      </rPr>
      <t>_B.A</t>
    </r>
  </si>
  <si>
    <r>
      <t>X</t>
    </r>
    <r>
      <rPr>
        <vertAlign val="subscript"/>
        <sz val="10"/>
        <color indexed="8"/>
        <rFont val="Arial"/>
        <family val="2"/>
      </rPr>
      <t>_P</t>
    </r>
  </si>
  <si>
    <r>
      <t>S</t>
    </r>
    <r>
      <rPr>
        <vertAlign val="subscript"/>
        <sz val="10"/>
        <color indexed="8"/>
        <rFont val="Arial"/>
        <family val="2"/>
      </rPr>
      <t>_O</t>
    </r>
  </si>
  <si>
    <r>
      <t>S</t>
    </r>
    <r>
      <rPr>
        <vertAlign val="subscript"/>
        <sz val="10"/>
        <color indexed="8"/>
        <rFont val="Arial"/>
        <family val="2"/>
      </rPr>
      <t>_NO</t>
    </r>
  </si>
  <si>
    <r>
      <t>S</t>
    </r>
    <r>
      <rPr>
        <vertAlign val="subscript"/>
        <sz val="10"/>
        <color indexed="8"/>
        <rFont val="Arial"/>
        <family val="2"/>
      </rPr>
      <t>_NH</t>
    </r>
  </si>
  <si>
    <r>
      <t>S</t>
    </r>
    <r>
      <rPr>
        <vertAlign val="subscript"/>
        <sz val="10"/>
        <color indexed="8"/>
        <rFont val="Arial"/>
        <family val="2"/>
      </rPr>
      <t>_ND</t>
    </r>
  </si>
  <si>
    <r>
      <t>X</t>
    </r>
    <r>
      <rPr>
        <vertAlign val="subscript"/>
        <sz val="10"/>
        <color indexed="8"/>
        <rFont val="Arial"/>
        <family val="2"/>
      </rPr>
      <t>_ND</t>
    </r>
  </si>
  <si>
    <r>
      <t>S</t>
    </r>
    <r>
      <rPr>
        <vertAlign val="subscript"/>
        <sz val="10"/>
        <color indexed="8"/>
        <rFont val="Arial"/>
        <family val="2"/>
      </rPr>
      <t>_ALK</t>
    </r>
  </si>
  <si>
    <r>
      <t>S</t>
    </r>
    <r>
      <rPr>
        <vertAlign val="subscript"/>
        <sz val="10"/>
        <color indexed="8"/>
        <rFont val="Arial"/>
        <family val="2"/>
      </rPr>
      <t>_N2</t>
    </r>
  </si>
  <si>
    <r>
      <t>1-</t>
    </r>
    <r>
      <rPr>
        <i/>
        <sz val="12"/>
        <color indexed="8"/>
        <rFont val="Arial"/>
        <family val="2"/>
      </rPr>
      <t>f</t>
    </r>
    <r>
      <rPr>
        <vertAlign val="subscript"/>
        <sz val="12"/>
        <color indexed="8"/>
        <rFont val="Arial"/>
        <family val="2"/>
      </rPr>
      <t>SI</t>
    </r>
  </si>
  <si>
    <r>
      <t>-((1-</t>
    </r>
    <r>
      <rPr>
        <i/>
        <sz val="12"/>
        <color indexed="8"/>
        <rFont val="Arial"/>
        <family val="2"/>
      </rPr>
      <t>f</t>
    </r>
    <r>
      <rPr>
        <vertAlign val="subscript"/>
        <sz val="12"/>
        <color indexed="8"/>
        <rFont val="Arial"/>
        <family val="2"/>
      </rPr>
      <t>SI</t>
    </r>
    <r>
      <rPr>
        <sz val="11"/>
        <color indexed="8"/>
        <rFont val="Arial"/>
        <family val="2"/>
      </rPr>
      <t>)*</t>
    </r>
    <r>
      <rPr>
        <i/>
        <sz val="12"/>
        <color indexed="8"/>
        <rFont val="Arial"/>
        <family val="2"/>
      </rPr>
      <t>i</t>
    </r>
    <r>
      <rPr>
        <vertAlign val="subscript"/>
        <sz val="12"/>
        <color indexed="8"/>
        <rFont val="Arial"/>
        <family val="2"/>
      </rPr>
      <t>N,SF</t>
    </r>
    <r>
      <rPr>
        <sz val="11"/>
        <color indexed="8"/>
        <rFont val="Arial"/>
        <family val="2"/>
      </rPr>
      <t>+</t>
    </r>
    <r>
      <rPr>
        <i/>
        <sz val="12"/>
        <color indexed="8"/>
        <rFont val="Arial"/>
        <family val="2"/>
      </rPr>
      <t>f</t>
    </r>
    <r>
      <rPr>
        <vertAlign val="subscript"/>
        <sz val="12"/>
        <color indexed="8"/>
        <rFont val="Arial"/>
        <family val="2"/>
      </rPr>
      <t>SI</t>
    </r>
    <r>
      <rPr>
        <sz val="11"/>
        <color indexed="8"/>
        <rFont val="Arial"/>
        <family val="2"/>
      </rPr>
      <t>*</t>
    </r>
    <r>
      <rPr>
        <i/>
        <sz val="12"/>
        <color indexed="8"/>
        <rFont val="Arial"/>
        <family val="2"/>
      </rPr>
      <t>i</t>
    </r>
    <r>
      <rPr>
        <vertAlign val="subscript"/>
        <sz val="12"/>
        <color indexed="8"/>
        <rFont val="Arial"/>
        <family val="2"/>
      </rPr>
      <t>N,SI</t>
    </r>
    <r>
      <rPr>
        <sz val="11"/>
        <color indexed="8"/>
        <rFont val="Arial"/>
        <family val="2"/>
      </rPr>
      <t>-</t>
    </r>
    <r>
      <rPr>
        <i/>
        <sz val="12"/>
        <color indexed="8"/>
        <rFont val="Arial"/>
        <family val="2"/>
      </rPr>
      <t>i</t>
    </r>
    <r>
      <rPr>
        <vertAlign val="subscript"/>
        <sz val="12"/>
        <color indexed="8"/>
        <rFont val="Arial"/>
        <family val="2"/>
      </rPr>
      <t>N,XS</t>
    </r>
    <r>
      <rPr>
        <sz val="11"/>
        <color indexed="8"/>
        <rFont val="Arial"/>
        <family val="2"/>
      </rPr>
      <t>)</t>
    </r>
  </si>
  <si>
    <r>
      <t>-((1-</t>
    </r>
    <r>
      <rPr>
        <i/>
        <sz val="12"/>
        <color indexed="8"/>
        <rFont val="Arial"/>
        <family val="2"/>
      </rPr>
      <t>f</t>
    </r>
    <r>
      <rPr>
        <vertAlign val="subscript"/>
        <sz val="12"/>
        <color indexed="8"/>
        <rFont val="Arial"/>
        <family val="2"/>
      </rPr>
      <t>SI</t>
    </r>
    <r>
      <rPr>
        <sz val="11"/>
        <color indexed="8"/>
        <rFont val="Arial"/>
        <family val="2"/>
      </rPr>
      <t>)*</t>
    </r>
    <r>
      <rPr>
        <i/>
        <sz val="12"/>
        <color indexed="8"/>
        <rFont val="Arial"/>
        <family val="2"/>
      </rPr>
      <t>i</t>
    </r>
    <r>
      <rPr>
        <vertAlign val="subscript"/>
        <sz val="12"/>
        <color indexed="8"/>
        <rFont val="Arial"/>
        <family val="2"/>
      </rPr>
      <t>P,SF</t>
    </r>
    <r>
      <rPr>
        <sz val="11"/>
        <color indexed="8"/>
        <rFont val="Arial"/>
        <family val="2"/>
      </rPr>
      <t>+</t>
    </r>
    <r>
      <rPr>
        <i/>
        <sz val="12"/>
        <color indexed="8"/>
        <rFont val="Arial"/>
        <family val="2"/>
      </rPr>
      <t>f</t>
    </r>
    <r>
      <rPr>
        <vertAlign val="subscript"/>
        <sz val="12"/>
        <color indexed="8"/>
        <rFont val="Arial"/>
        <family val="2"/>
      </rPr>
      <t>SI</t>
    </r>
    <r>
      <rPr>
        <sz val="11"/>
        <color indexed="8"/>
        <rFont val="Arial"/>
        <family val="2"/>
      </rPr>
      <t>*</t>
    </r>
    <r>
      <rPr>
        <i/>
        <sz val="12"/>
        <color indexed="8"/>
        <rFont val="Arial"/>
        <family val="2"/>
      </rPr>
      <t>i</t>
    </r>
    <r>
      <rPr>
        <vertAlign val="subscript"/>
        <sz val="12"/>
        <color indexed="8"/>
        <rFont val="Arial"/>
        <family val="2"/>
      </rPr>
      <t>P,SI</t>
    </r>
    <r>
      <rPr>
        <sz val="11"/>
        <color indexed="8"/>
        <rFont val="Arial"/>
        <family val="2"/>
      </rPr>
      <t>-</t>
    </r>
    <r>
      <rPr>
        <i/>
        <sz val="12"/>
        <color indexed="8"/>
        <rFont val="Arial"/>
        <family val="2"/>
      </rPr>
      <t>i</t>
    </r>
    <r>
      <rPr>
        <vertAlign val="subscript"/>
        <sz val="12"/>
        <color indexed="8"/>
        <rFont val="Arial"/>
        <family val="2"/>
      </rPr>
      <t>P,XS</t>
    </r>
    <r>
      <rPr>
        <sz val="11"/>
        <color indexed="8"/>
        <rFont val="Arial"/>
        <family val="2"/>
      </rPr>
      <t>)</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</si>
  <si>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1_NH4</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v</t>
    </r>
    <r>
      <rPr>
        <vertAlign val="subscript"/>
        <sz val="12"/>
        <color indexed="8"/>
        <rFont val="Arial"/>
        <family val="2"/>
      </rPr>
      <t>1_PO4</t>
    </r>
  </si>
  <si>
    <r>
      <t>-</t>
    </r>
    <r>
      <rPr>
        <i/>
        <sz val="12"/>
        <color indexed="8"/>
        <rFont val="Arial"/>
        <family val="2"/>
      </rPr>
      <t>i</t>
    </r>
    <r>
      <rPr>
        <vertAlign val="subscript"/>
        <sz val="12"/>
        <color indexed="8"/>
        <rFont val="Arial"/>
        <family val="2"/>
      </rPr>
      <t>TSS,XS</t>
    </r>
  </si>
  <si>
    <r>
      <t>K</t>
    </r>
    <r>
      <rPr>
        <vertAlign val="subscript"/>
        <sz val="12"/>
        <color indexed="8"/>
        <rFont val="Arial"/>
        <family val="2"/>
      </rPr>
      <t>h</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57"/>
        <rFont val="Arial"/>
        <family val="2"/>
      </rPr>
      <t>K</t>
    </r>
    <r>
      <rPr>
        <vertAlign val="subscript"/>
        <sz val="12"/>
        <color indexed="57"/>
        <rFont val="Arial"/>
        <family val="2"/>
      </rPr>
      <t>O2,HYD</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X</t>
    </r>
    <r>
      <rPr>
        <vertAlign val="subscript"/>
        <sz val="12"/>
        <color indexed="8"/>
        <rFont val="Arial"/>
        <family val="2"/>
      </rPr>
      <t>S</t>
    </r>
    <r>
      <rPr>
        <sz val="11"/>
        <color indexed="8"/>
        <rFont val="Arial"/>
        <family val="2"/>
      </rPr>
      <t>/</t>
    </r>
    <r>
      <rPr>
        <i/>
        <sz val="12"/>
        <color indexed="8"/>
        <rFont val="Arial"/>
        <family val="2"/>
      </rPr>
      <t>X</t>
    </r>
    <r>
      <rPr>
        <vertAlign val="subscript"/>
        <sz val="12"/>
        <color indexed="8"/>
        <rFont val="Arial"/>
        <family val="2"/>
      </rPr>
      <t>H</t>
    </r>
    <r>
      <rPr>
        <sz val="11"/>
        <color indexed="8"/>
        <rFont val="Arial"/>
        <family val="2"/>
      </rPr>
      <t>)/(</t>
    </r>
    <r>
      <rPr>
        <i/>
        <sz val="12"/>
        <color indexed="8"/>
        <rFont val="Arial"/>
        <family val="2"/>
      </rPr>
      <t>K</t>
    </r>
    <r>
      <rPr>
        <vertAlign val="subscript"/>
        <sz val="12"/>
        <color indexed="8"/>
        <rFont val="Arial"/>
        <family val="2"/>
      </rPr>
      <t>X</t>
    </r>
    <r>
      <rPr>
        <sz val="11"/>
        <color indexed="8"/>
        <rFont val="Arial"/>
        <family val="2"/>
      </rPr>
      <t>+(</t>
    </r>
    <r>
      <rPr>
        <i/>
        <sz val="12"/>
        <color indexed="8"/>
        <rFont val="Arial"/>
        <family val="2"/>
      </rPr>
      <t>X</t>
    </r>
    <r>
      <rPr>
        <vertAlign val="subscript"/>
        <sz val="12"/>
        <color indexed="8"/>
        <rFont val="Arial"/>
        <family val="2"/>
      </rPr>
      <t>S</t>
    </r>
    <r>
      <rPr>
        <sz val="11"/>
        <color indexed="8"/>
        <rFont val="Arial"/>
        <family val="2"/>
      </rPr>
      <t>/</t>
    </r>
    <r>
      <rPr>
        <i/>
        <sz val="12"/>
        <color indexed="8"/>
        <rFont val="Arial"/>
        <family val="2"/>
      </rPr>
      <t>X</t>
    </r>
    <r>
      <rPr>
        <vertAlign val="subscript"/>
        <sz val="12"/>
        <color indexed="8"/>
        <rFont val="Arial"/>
        <family val="2"/>
      </rPr>
      <t>H</t>
    </r>
    <r>
      <rPr>
        <sz val="11"/>
        <color indexed="8"/>
        <rFont val="Arial"/>
        <family val="2"/>
      </rPr>
      <t>))]*</t>
    </r>
    <r>
      <rPr>
        <i/>
        <sz val="12"/>
        <color indexed="8"/>
        <rFont val="Arial"/>
        <family val="2"/>
      </rPr>
      <t>X</t>
    </r>
    <r>
      <rPr>
        <vertAlign val="subscript"/>
        <sz val="12"/>
        <color indexed="8"/>
        <rFont val="Arial"/>
        <family val="2"/>
      </rPr>
      <t>H</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</si>
  <si>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2_NH4</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v</t>
    </r>
    <r>
      <rPr>
        <vertAlign val="subscript"/>
        <sz val="12"/>
        <color indexed="8"/>
        <rFont val="Arial"/>
        <family val="2"/>
      </rPr>
      <t>2_PO4</t>
    </r>
  </si>
  <si>
    <r>
      <t>K</t>
    </r>
    <r>
      <rPr>
        <vertAlign val="subscript"/>
        <sz val="12"/>
        <color indexed="8"/>
        <rFont val="Arial"/>
        <family val="2"/>
      </rPr>
      <t>h</t>
    </r>
    <r>
      <rPr>
        <sz val="11"/>
        <color indexed="8"/>
        <rFont val="Arial"/>
        <family val="2"/>
      </rPr>
      <t>*</t>
    </r>
    <r>
      <rPr>
        <i/>
        <sz val="12"/>
        <color indexed="57"/>
        <rFont val="Arial"/>
        <family val="2"/>
      </rPr>
      <t>η</t>
    </r>
    <r>
      <rPr>
        <vertAlign val="subscript"/>
        <sz val="12"/>
        <color indexed="57"/>
        <rFont val="Arial"/>
        <family val="2"/>
      </rPr>
      <t>NO3,HYD</t>
    </r>
    <r>
      <rPr>
        <sz val="11"/>
        <color indexed="8"/>
        <rFont val="Arial"/>
        <family val="2"/>
      </rPr>
      <t>*[</t>
    </r>
    <r>
      <rPr>
        <i/>
        <sz val="12"/>
        <color indexed="57"/>
        <rFont val="Arial"/>
        <family val="2"/>
      </rPr>
      <t>K</t>
    </r>
    <r>
      <rPr>
        <vertAlign val="subscript"/>
        <sz val="12"/>
        <color indexed="57"/>
        <rFont val="Arial"/>
        <family val="2"/>
      </rPr>
      <t>O2,HYD</t>
    </r>
    <r>
      <rPr>
        <sz val="11"/>
        <color indexed="8"/>
        <rFont val="Arial"/>
        <family val="2"/>
      </rPr>
      <t>/(</t>
    </r>
    <r>
      <rPr>
        <i/>
        <sz val="12"/>
        <color indexed="57"/>
        <rFont val="Arial"/>
        <family val="2"/>
      </rPr>
      <t>K</t>
    </r>
    <r>
      <rPr>
        <vertAlign val="subscript"/>
        <sz val="12"/>
        <color indexed="57"/>
        <rFont val="Arial"/>
        <family val="2"/>
      </rPr>
      <t>O2,HYD</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S</t>
    </r>
    <r>
      <rPr>
        <vertAlign val="subscript"/>
        <sz val="12"/>
        <color indexed="8"/>
        <rFont val="Arial"/>
        <family val="2"/>
      </rPr>
      <t>NO3</t>
    </r>
    <r>
      <rPr>
        <sz val="11"/>
        <color indexed="8"/>
        <rFont val="Arial"/>
        <family val="2"/>
      </rPr>
      <t>/(</t>
    </r>
    <r>
      <rPr>
        <i/>
        <sz val="12"/>
        <color indexed="57"/>
        <rFont val="Arial"/>
        <family val="2"/>
      </rPr>
      <t>K</t>
    </r>
    <r>
      <rPr>
        <vertAlign val="subscript"/>
        <sz val="12"/>
        <color indexed="57"/>
        <rFont val="Arial"/>
        <family val="2"/>
      </rPr>
      <t>NO3,hyd</t>
    </r>
    <r>
      <rPr>
        <sz val="11"/>
        <color indexed="8"/>
        <rFont val="Arial"/>
        <family val="2"/>
      </rPr>
      <t>+</t>
    </r>
    <r>
      <rPr>
        <i/>
        <sz val="12"/>
        <color indexed="8"/>
        <rFont val="Arial"/>
        <family val="2"/>
      </rPr>
      <t>S</t>
    </r>
    <r>
      <rPr>
        <vertAlign val="subscript"/>
        <sz val="12"/>
        <color indexed="8"/>
        <rFont val="Arial"/>
        <family val="2"/>
      </rPr>
      <t>NO3</t>
    </r>
    <r>
      <rPr>
        <sz val="11"/>
        <color indexed="8"/>
        <rFont val="Arial"/>
        <family val="2"/>
      </rPr>
      <t>)]*[(</t>
    </r>
    <r>
      <rPr>
        <i/>
        <sz val="12"/>
        <color indexed="8"/>
        <rFont val="Arial"/>
        <family val="2"/>
      </rPr>
      <t>X</t>
    </r>
    <r>
      <rPr>
        <vertAlign val="subscript"/>
        <sz val="12"/>
        <color indexed="8"/>
        <rFont val="Arial"/>
        <family val="2"/>
      </rPr>
      <t>S</t>
    </r>
    <r>
      <rPr>
        <sz val="11"/>
        <color indexed="8"/>
        <rFont val="Arial"/>
        <family val="2"/>
      </rPr>
      <t>/</t>
    </r>
    <r>
      <rPr>
        <i/>
        <sz val="12"/>
        <color indexed="8"/>
        <rFont val="Arial"/>
        <family val="2"/>
      </rPr>
      <t>X</t>
    </r>
    <r>
      <rPr>
        <vertAlign val="subscript"/>
        <sz val="12"/>
        <color indexed="8"/>
        <rFont val="Arial"/>
        <family val="2"/>
      </rPr>
      <t>H</t>
    </r>
    <r>
      <rPr>
        <sz val="11"/>
        <color indexed="8"/>
        <rFont val="Arial"/>
        <family val="2"/>
      </rPr>
      <t>)/(</t>
    </r>
    <r>
      <rPr>
        <i/>
        <sz val="12"/>
        <color indexed="8"/>
        <rFont val="Arial"/>
        <family val="2"/>
      </rPr>
      <t>K</t>
    </r>
    <r>
      <rPr>
        <vertAlign val="subscript"/>
        <sz val="12"/>
        <color indexed="8"/>
        <rFont val="Arial"/>
        <family val="2"/>
      </rPr>
      <t>X</t>
    </r>
    <r>
      <rPr>
        <sz val="11"/>
        <color indexed="8"/>
        <rFont val="Arial"/>
        <family val="2"/>
      </rPr>
      <t>+(</t>
    </r>
    <r>
      <rPr>
        <i/>
        <sz val="12"/>
        <color indexed="8"/>
        <rFont val="Arial"/>
        <family val="2"/>
      </rPr>
      <t>X</t>
    </r>
    <r>
      <rPr>
        <vertAlign val="subscript"/>
        <sz val="12"/>
        <color indexed="8"/>
        <rFont val="Arial"/>
        <family val="2"/>
      </rPr>
      <t>S</t>
    </r>
    <r>
      <rPr>
        <sz val="11"/>
        <color indexed="8"/>
        <rFont val="Arial"/>
        <family val="2"/>
      </rPr>
      <t>/</t>
    </r>
    <r>
      <rPr>
        <i/>
        <sz val="12"/>
        <color indexed="8"/>
        <rFont val="Arial"/>
        <family val="2"/>
      </rPr>
      <t>X</t>
    </r>
    <r>
      <rPr>
        <vertAlign val="subscript"/>
        <sz val="12"/>
        <color indexed="8"/>
        <rFont val="Arial"/>
        <family val="2"/>
      </rPr>
      <t>H</t>
    </r>
    <r>
      <rPr>
        <sz val="11"/>
        <color indexed="8"/>
        <rFont val="Arial"/>
        <family val="2"/>
      </rPr>
      <t>))]*</t>
    </r>
    <r>
      <rPr>
        <i/>
        <sz val="12"/>
        <color indexed="8"/>
        <rFont val="Arial"/>
        <family val="2"/>
      </rPr>
      <t>X</t>
    </r>
    <r>
      <rPr>
        <vertAlign val="subscript"/>
        <sz val="12"/>
        <color indexed="8"/>
        <rFont val="Arial"/>
        <family val="2"/>
      </rPr>
      <t>H</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</si>
  <si>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3_NH4</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v</t>
    </r>
    <r>
      <rPr>
        <vertAlign val="subscript"/>
        <sz val="12"/>
        <color indexed="8"/>
        <rFont val="Arial"/>
        <family val="2"/>
      </rPr>
      <t>3_PO4</t>
    </r>
  </si>
  <si>
    <r>
      <t>K</t>
    </r>
    <r>
      <rPr>
        <vertAlign val="subscript"/>
        <sz val="12"/>
        <color indexed="8"/>
        <rFont val="Arial"/>
        <family val="2"/>
      </rPr>
      <t>h</t>
    </r>
    <r>
      <rPr>
        <sz val="11"/>
        <color indexed="8"/>
        <rFont val="Arial"/>
        <family val="2"/>
      </rPr>
      <t>*</t>
    </r>
    <r>
      <rPr>
        <i/>
        <sz val="12"/>
        <color indexed="8"/>
        <rFont val="Arial"/>
        <family val="2"/>
      </rPr>
      <t>η</t>
    </r>
    <r>
      <rPr>
        <vertAlign val="subscript"/>
        <sz val="12"/>
        <color indexed="8"/>
        <rFont val="Arial"/>
        <family val="2"/>
      </rPr>
      <t>fe</t>
    </r>
    <r>
      <rPr>
        <sz val="11"/>
        <color indexed="8"/>
        <rFont val="Arial"/>
        <family val="2"/>
      </rPr>
      <t>*[</t>
    </r>
    <r>
      <rPr>
        <i/>
        <sz val="12"/>
        <color indexed="57"/>
        <rFont val="Arial"/>
        <family val="2"/>
      </rPr>
      <t>K</t>
    </r>
    <r>
      <rPr>
        <vertAlign val="subscript"/>
        <sz val="12"/>
        <color indexed="57"/>
        <rFont val="Arial"/>
        <family val="2"/>
      </rPr>
      <t>O2,HYD</t>
    </r>
    <r>
      <rPr>
        <sz val="11"/>
        <color indexed="8"/>
        <rFont val="Arial"/>
        <family val="2"/>
      </rPr>
      <t>/(</t>
    </r>
    <r>
      <rPr>
        <i/>
        <sz val="12"/>
        <color indexed="57"/>
        <rFont val="Arial"/>
        <family val="2"/>
      </rPr>
      <t>K</t>
    </r>
    <r>
      <rPr>
        <vertAlign val="subscript"/>
        <sz val="12"/>
        <color indexed="57"/>
        <rFont val="Arial"/>
        <family val="2"/>
      </rPr>
      <t>O2,HYD</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57"/>
        <rFont val="Arial"/>
        <family val="2"/>
      </rPr>
      <t>K</t>
    </r>
    <r>
      <rPr>
        <vertAlign val="subscript"/>
        <sz val="12"/>
        <color indexed="57"/>
        <rFont val="Arial"/>
        <family val="2"/>
      </rPr>
      <t>NO3,HYD</t>
    </r>
    <r>
      <rPr>
        <sz val="11"/>
        <color indexed="8"/>
        <rFont val="Arial"/>
        <family val="2"/>
      </rPr>
      <t>/(</t>
    </r>
    <r>
      <rPr>
        <i/>
        <sz val="12"/>
        <color indexed="57"/>
        <rFont val="Arial"/>
        <family val="2"/>
      </rPr>
      <t>K</t>
    </r>
    <r>
      <rPr>
        <vertAlign val="subscript"/>
        <sz val="12"/>
        <color indexed="57"/>
        <rFont val="Arial"/>
        <family val="2"/>
      </rPr>
      <t>NO3,HYD</t>
    </r>
    <r>
      <rPr>
        <sz val="11"/>
        <color indexed="8"/>
        <rFont val="Arial"/>
        <family val="2"/>
      </rPr>
      <t>+</t>
    </r>
    <r>
      <rPr>
        <i/>
        <sz val="12"/>
        <color indexed="8"/>
        <rFont val="Arial"/>
        <family val="2"/>
      </rPr>
      <t>S</t>
    </r>
    <r>
      <rPr>
        <vertAlign val="subscript"/>
        <sz val="12"/>
        <color indexed="8"/>
        <rFont val="Arial"/>
        <family val="2"/>
      </rPr>
      <t>NO3</t>
    </r>
    <r>
      <rPr>
        <sz val="11"/>
        <color indexed="8"/>
        <rFont val="Arial"/>
        <family val="2"/>
      </rPr>
      <t>)]*[(</t>
    </r>
    <r>
      <rPr>
        <i/>
        <sz val="12"/>
        <color indexed="8"/>
        <rFont val="Arial"/>
        <family val="2"/>
      </rPr>
      <t>X</t>
    </r>
    <r>
      <rPr>
        <vertAlign val="subscript"/>
        <sz val="12"/>
        <color indexed="8"/>
        <rFont val="Arial"/>
        <family val="2"/>
      </rPr>
      <t>S</t>
    </r>
    <r>
      <rPr>
        <sz val="11"/>
        <color indexed="8"/>
        <rFont val="Arial"/>
        <family val="2"/>
      </rPr>
      <t>/</t>
    </r>
    <r>
      <rPr>
        <i/>
        <sz val="12"/>
        <color indexed="8"/>
        <rFont val="Arial"/>
        <family val="2"/>
      </rPr>
      <t>X</t>
    </r>
    <r>
      <rPr>
        <vertAlign val="subscript"/>
        <sz val="12"/>
        <color indexed="8"/>
        <rFont val="Arial"/>
        <family val="2"/>
      </rPr>
      <t>H</t>
    </r>
    <r>
      <rPr>
        <sz val="11"/>
        <color indexed="8"/>
        <rFont val="Arial"/>
        <family val="2"/>
      </rPr>
      <t>)/(</t>
    </r>
    <r>
      <rPr>
        <i/>
        <sz val="12"/>
        <color indexed="8"/>
        <rFont val="Arial"/>
        <family val="2"/>
      </rPr>
      <t>K</t>
    </r>
    <r>
      <rPr>
        <vertAlign val="subscript"/>
        <sz val="12"/>
        <color indexed="8"/>
        <rFont val="Arial"/>
        <family val="2"/>
      </rPr>
      <t>X</t>
    </r>
    <r>
      <rPr>
        <sz val="11"/>
        <color indexed="8"/>
        <rFont val="Arial"/>
        <family val="2"/>
      </rPr>
      <t>+(</t>
    </r>
    <r>
      <rPr>
        <i/>
        <sz val="12"/>
        <color indexed="8"/>
        <rFont val="Arial"/>
        <family val="2"/>
      </rPr>
      <t>X</t>
    </r>
    <r>
      <rPr>
        <vertAlign val="subscript"/>
        <sz val="12"/>
        <color indexed="8"/>
        <rFont val="Arial"/>
        <family val="2"/>
      </rPr>
      <t>S</t>
    </r>
    <r>
      <rPr>
        <sz val="11"/>
        <color indexed="8"/>
        <rFont val="Arial"/>
        <family val="2"/>
      </rPr>
      <t>/</t>
    </r>
    <r>
      <rPr>
        <i/>
        <sz val="12"/>
        <color indexed="8"/>
        <rFont val="Arial"/>
        <family val="2"/>
      </rPr>
      <t>X</t>
    </r>
    <r>
      <rPr>
        <vertAlign val="subscript"/>
        <sz val="12"/>
        <color indexed="8"/>
        <rFont val="Arial"/>
        <family val="2"/>
      </rPr>
      <t>H</t>
    </r>
    <r>
      <rPr>
        <sz val="11"/>
        <color indexed="8"/>
        <rFont val="Arial"/>
        <family val="2"/>
      </rPr>
      <t>))]*</t>
    </r>
    <r>
      <rPr>
        <i/>
        <sz val="12"/>
        <color indexed="8"/>
        <rFont val="Arial"/>
        <family val="2"/>
      </rPr>
      <t>X</t>
    </r>
    <r>
      <rPr>
        <vertAlign val="subscript"/>
        <sz val="12"/>
        <color indexed="8"/>
        <rFont val="Arial"/>
        <family val="2"/>
      </rPr>
      <t>H</t>
    </r>
  </si>
  <si>
    <r>
      <t>Aerobic growth on S</t>
    </r>
    <r>
      <rPr>
        <b/>
        <vertAlign val="subscript"/>
        <sz val="11"/>
        <color indexed="8"/>
        <rFont val="Arial"/>
        <family val="2"/>
      </rPr>
      <t>F</t>
    </r>
  </si>
  <si>
    <r>
      <t>-(1-</t>
    </r>
    <r>
      <rPr>
        <i/>
        <sz val="12"/>
        <color indexed="8"/>
        <rFont val="Arial"/>
        <family val="2"/>
      </rPr>
      <t>Y</t>
    </r>
    <r>
      <rPr>
        <vertAlign val="subscript"/>
        <sz val="12"/>
        <color indexed="8"/>
        <rFont val="Arial"/>
        <family val="2"/>
      </rPr>
      <t>H</t>
    </r>
    <r>
      <rPr>
        <sz val="11"/>
        <color indexed="8"/>
        <rFont val="Arial"/>
        <family val="2"/>
      </rPr>
      <t>)/</t>
    </r>
    <r>
      <rPr>
        <i/>
        <sz val="12"/>
        <color indexed="8"/>
        <rFont val="Arial"/>
        <family val="2"/>
      </rPr>
      <t>Y</t>
    </r>
    <r>
      <rPr>
        <vertAlign val="subscript"/>
        <sz val="12"/>
        <color indexed="8"/>
        <rFont val="Arial"/>
        <family val="2"/>
      </rPr>
      <t>H</t>
    </r>
  </si>
  <si>
    <r>
      <t>-1/</t>
    </r>
    <r>
      <rPr>
        <i/>
        <sz val="12"/>
        <color indexed="8"/>
        <rFont val="Arial"/>
        <family val="2"/>
      </rPr>
      <t>Y</t>
    </r>
    <r>
      <rPr>
        <vertAlign val="subscript"/>
        <sz val="12"/>
        <color indexed="8"/>
        <rFont val="Arial"/>
        <family val="2"/>
      </rPr>
      <t>H</t>
    </r>
  </si>
  <si>
    <r>
      <t>-(-1/</t>
    </r>
    <r>
      <rPr>
        <i/>
        <sz val="12"/>
        <color indexed="8"/>
        <rFont val="Arial"/>
        <family val="2"/>
      </rPr>
      <t>Y</t>
    </r>
    <r>
      <rPr>
        <vertAlign val="subscript"/>
        <sz val="12"/>
        <color indexed="8"/>
        <rFont val="Arial"/>
        <family val="2"/>
      </rPr>
      <t>H</t>
    </r>
    <r>
      <rPr>
        <sz val="11"/>
        <color indexed="8"/>
        <rFont val="Arial"/>
        <family val="2"/>
      </rPr>
      <t>*</t>
    </r>
    <r>
      <rPr>
        <i/>
        <sz val="12"/>
        <color indexed="8"/>
        <rFont val="Arial"/>
        <family val="2"/>
      </rPr>
      <t>i</t>
    </r>
    <r>
      <rPr>
        <vertAlign val="subscript"/>
        <sz val="12"/>
        <color indexed="8"/>
        <rFont val="Arial"/>
        <family val="2"/>
      </rPr>
      <t>N,SF</t>
    </r>
    <r>
      <rPr>
        <sz val="11"/>
        <color indexed="8"/>
        <rFont val="Arial"/>
        <family val="2"/>
      </rPr>
      <t>+</t>
    </r>
    <r>
      <rPr>
        <i/>
        <sz val="12"/>
        <color indexed="8"/>
        <rFont val="Arial"/>
        <family val="2"/>
      </rPr>
      <t>i</t>
    </r>
    <r>
      <rPr>
        <vertAlign val="subscript"/>
        <sz val="12"/>
        <color indexed="8"/>
        <rFont val="Arial"/>
        <family val="2"/>
      </rPr>
      <t>N,BM</t>
    </r>
    <r>
      <rPr>
        <sz val="11"/>
        <color indexed="8"/>
        <rFont val="Arial"/>
        <family val="2"/>
      </rPr>
      <t>)</t>
    </r>
  </si>
  <si>
    <r>
      <t>-(-1/</t>
    </r>
    <r>
      <rPr>
        <i/>
        <sz val="12"/>
        <color indexed="8"/>
        <rFont val="Arial"/>
        <family val="2"/>
      </rPr>
      <t>Y</t>
    </r>
    <r>
      <rPr>
        <vertAlign val="subscript"/>
        <sz val="12"/>
        <color indexed="8"/>
        <rFont val="Arial"/>
        <family val="2"/>
      </rPr>
      <t>H</t>
    </r>
    <r>
      <rPr>
        <sz val="11"/>
        <color indexed="8"/>
        <rFont val="Arial"/>
        <family val="2"/>
      </rPr>
      <t>*</t>
    </r>
    <r>
      <rPr>
        <i/>
        <sz val="12"/>
        <color indexed="8"/>
        <rFont val="Arial"/>
        <family val="2"/>
      </rPr>
      <t>i</t>
    </r>
    <r>
      <rPr>
        <vertAlign val="subscript"/>
        <sz val="12"/>
        <color indexed="8"/>
        <rFont val="Arial"/>
        <family val="2"/>
      </rPr>
      <t>P,SF</t>
    </r>
    <r>
      <rPr>
        <sz val="11"/>
        <color indexed="8"/>
        <rFont val="Arial"/>
        <family val="2"/>
      </rPr>
      <t>+</t>
    </r>
    <r>
      <rPr>
        <i/>
        <sz val="12"/>
        <color indexed="8"/>
        <rFont val="Arial"/>
        <family val="2"/>
      </rPr>
      <t>i</t>
    </r>
    <r>
      <rPr>
        <vertAlign val="subscript"/>
        <sz val="12"/>
        <color indexed="8"/>
        <rFont val="Arial"/>
        <family val="2"/>
      </rPr>
      <t>P,BM</t>
    </r>
    <r>
      <rPr>
        <sz val="11"/>
        <color indexed="8"/>
        <rFont val="Arial"/>
        <family val="2"/>
      </rPr>
      <t>)</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</si>
  <si>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4_NH4</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v</t>
    </r>
    <r>
      <rPr>
        <vertAlign val="subscript"/>
        <sz val="12"/>
        <color indexed="8"/>
        <rFont val="Arial"/>
        <family val="2"/>
      </rPr>
      <t>4_PO4</t>
    </r>
  </si>
  <si>
    <r>
      <t>μ</t>
    </r>
    <r>
      <rPr>
        <vertAlign val="subscript"/>
        <sz val="12"/>
        <color indexed="8"/>
        <rFont val="Arial"/>
        <family val="2"/>
      </rPr>
      <t>H</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57"/>
        <rFont val="Arial"/>
        <family val="2"/>
      </rPr>
      <t>K</t>
    </r>
    <r>
      <rPr>
        <vertAlign val="subscript"/>
        <sz val="12"/>
        <color indexed="57"/>
        <rFont val="Arial"/>
        <family val="2"/>
      </rPr>
      <t>O2,H</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S</t>
    </r>
    <r>
      <rPr>
        <vertAlign val="subscript"/>
        <sz val="12"/>
        <color indexed="8"/>
        <rFont val="Arial"/>
        <family val="2"/>
      </rPr>
      <t>F</t>
    </r>
    <r>
      <rPr>
        <sz val="11"/>
        <color indexed="8"/>
        <rFont val="Arial"/>
        <family val="2"/>
      </rPr>
      <t>/(</t>
    </r>
    <r>
      <rPr>
        <i/>
        <sz val="12"/>
        <color indexed="8"/>
        <rFont val="Arial"/>
        <family val="2"/>
      </rPr>
      <t>K</t>
    </r>
    <r>
      <rPr>
        <vertAlign val="subscript"/>
        <sz val="12"/>
        <color indexed="8"/>
        <rFont val="Arial"/>
        <family val="2"/>
      </rPr>
      <t>F</t>
    </r>
    <r>
      <rPr>
        <sz val="11"/>
        <color indexed="8"/>
        <rFont val="Arial"/>
        <family val="2"/>
      </rPr>
      <t>+</t>
    </r>
    <r>
      <rPr>
        <i/>
        <sz val="12"/>
        <color indexed="8"/>
        <rFont val="Arial"/>
        <family val="2"/>
      </rPr>
      <t>S</t>
    </r>
    <r>
      <rPr>
        <vertAlign val="subscript"/>
        <sz val="12"/>
        <color indexed="8"/>
        <rFont val="Arial"/>
        <family val="2"/>
      </rPr>
      <t>F</t>
    </r>
    <r>
      <rPr>
        <sz val="11"/>
        <color indexed="8"/>
        <rFont val="Arial"/>
        <family val="2"/>
      </rPr>
      <t>)]*[</t>
    </r>
    <r>
      <rPr>
        <i/>
        <sz val="12"/>
        <color indexed="8"/>
        <rFont val="Arial"/>
        <family val="2"/>
      </rPr>
      <t>S</t>
    </r>
    <r>
      <rPr>
        <vertAlign val="subscript"/>
        <sz val="12"/>
        <color indexed="8"/>
        <rFont val="Arial"/>
        <family val="2"/>
      </rPr>
      <t>F</t>
    </r>
    <r>
      <rPr>
        <sz val="11"/>
        <color indexed="8"/>
        <rFont val="Arial"/>
        <family val="2"/>
      </rPr>
      <t>/(</t>
    </r>
    <r>
      <rPr>
        <i/>
        <sz val="12"/>
        <color indexed="8"/>
        <rFont val="Arial"/>
        <family val="2"/>
      </rPr>
      <t>S</t>
    </r>
    <r>
      <rPr>
        <vertAlign val="subscript"/>
        <sz val="12"/>
        <color indexed="8"/>
        <rFont val="Arial"/>
        <family val="2"/>
      </rPr>
      <t>F</t>
    </r>
    <r>
      <rPr>
        <sz val="11"/>
        <color indexed="8"/>
        <rFont val="Arial"/>
        <family val="2"/>
      </rPr>
      <t>+</t>
    </r>
    <r>
      <rPr>
        <i/>
        <sz val="12"/>
        <color indexed="8"/>
        <rFont val="Arial"/>
        <family val="2"/>
      </rPr>
      <t>S</t>
    </r>
    <r>
      <rPr>
        <vertAlign val="subscript"/>
        <sz val="12"/>
        <color indexed="8"/>
        <rFont val="Arial"/>
        <family val="2"/>
      </rPr>
      <t>A</t>
    </r>
    <r>
      <rPr>
        <sz val="11"/>
        <color indexed="8"/>
        <rFont val="Arial"/>
        <family val="2"/>
      </rPr>
      <t>)]*[</t>
    </r>
    <r>
      <rPr>
        <i/>
        <sz val="12"/>
        <color indexed="8"/>
        <rFont val="Arial"/>
        <family val="2"/>
      </rPr>
      <t>S</t>
    </r>
    <r>
      <rPr>
        <vertAlign val="subscript"/>
        <sz val="12"/>
        <color indexed="8"/>
        <rFont val="Arial"/>
        <family val="2"/>
      </rPr>
      <t>NH4</t>
    </r>
    <r>
      <rPr>
        <sz val="11"/>
        <color indexed="8"/>
        <rFont val="Arial"/>
        <family val="2"/>
      </rPr>
      <t>/(</t>
    </r>
    <r>
      <rPr>
        <i/>
        <sz val="12"/>
        <color indexed="57"/>
        <rFont val="Arial"/>
        <family val="2"/>
      </rPr>
      <t>K</t>
    </r>
    <r>
      <rPr>
        <vertAlign val="subscript"/>
        <sz val="12"/>
        <color indexed="57"/>
        <rFont val="Arial"/>
        <family val="2"/>
      </rPr>
      <t>NH4,H</t>
    </r>
    <r>
      <rPr>
        <sz val="11"/>
        <color indexed="8"/>
        <rFont val="Arial"/>
        <family val="2"/>
      </rPr>
      <t>+</t>
    </r>
    <r>
      <rPr>
        <i/>
        <sz val="12"/>
        <color indexed="8"/>
        <rFont val="Arial"/>
        <family val="2"/>
      </rPr>
      <t>S</t>
    </r>
    <r>
      <rPr>
        <vertAlign val="subscript"/>
        <sz val="12"/>
        <color indexed="8"/>
        <rFont val="Arial"/>
        <family val="2"/>
      </rPr>
      <t>NH4</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57"/>
        <rFont val="Arial"/>
        <family val="2"/>
      </rPr>
      <t>K</t>
    </r>
    <r>
      <rPr>
        <vertAlign val="subscript"/>
        <sz val="12"/>
        <color indexed="57"/>
        <rFont val="Arial"/>
        <family val="2"/>
      </rPr>
      <t>P,H</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57"/>
        <rFont val="Arial"/>
        <family val="2"/>
      </rPr>
      <t>K</t>
    </r>
    <r>
      <rPr>
        <vertAlign val="subscript"/>
        <sz val="12"/>
        <color indexed="57"/>
        <rFont val="Arial"/>
        <family val="2"/>
      </rPr>
      <t>ALK,H</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H</t>
    </r>
  </si>
  <si>
    <r>
      <t>Aerobic growth on S</t>
    </r>
    <r>
      <rPr>
        <b/>
        <vertAlign val="subscript"/>
        <sz val="11"/>
        <color indexed="8"/>
        <rFont val="Arial"/>
        <family val="2"/>
      </rPr>
      <t>A</t>
    </r>
  </si>
  <si>
    <r>
      <t>-</t>
    </r>
    <r>
      <rPr>
        <i/>
        <sz val="12"/>
        <color indexed="8"/>
        <rFont val="Arial"/>
        <family val="2"/>
      </rPr>
      <t>i</t>
    </r>
    <r>
      <rPr>
        <vertAlign val="subscript"/>
        <sz val="12"/>
        <color indexed="8"/>
        <rFont val="Arial"/>
        <family val="2"/>
      </rPr>
      <t>N,BM</t>
    </r>
  </si>
  <si>
    <r>
      <t>-</t>
    </r>
    <r>
      <rPr>
        <i/>
        <sz val="12"/>
        <color indexed="8"/>
        <rFont val="Arial"/>
        <family val="2"/>
      </rPr>
      <t>i</t>
    </r>
    <r>
      <rPr>
        <vertAlign val="subscript"/>
        <sz val="12"/>
        <color indexed="8"/>
        <rFont val="Arial"/>
        <family val="2"/>
      </rPr>
      <t>P,BM</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</si>
  <si>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5_NH4</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v</t>
    </r>
    <r>
      <rPr>
        <vertAlign val="subscript"/>
        <sz val="12"/>
        <color indexed="8"/>
        <rFont val="Arial"/>
        <family val="2"/>
      </rPr>
      <t>5_PO4</t>
    </r>
    <r>
      <rPr>
        <sz val="11"/>
        <color indexed="8"/>
        <rFont val="Arial"/>
        <family val="2"/>
      </rPr>
      <t>+</t>
    </r>
    <r>
      <rPr>
        <i/>
        <sz val="12"/>
        <color indexed="8"/>
        <rFont val="Arial"/>
        <family val="2"/>
      </rPr>
      <t>i</t>
    </r>
    <r>
      <rPr>
        <vertAlign val="subscript"/>
        <sz val="12"/>
        <color indexed="8"/>
        <rFont val="Arial"/>
        <family val="2"/>
      </rPr>
      <t>Charge_Ac</t>
    </r>
    <r>
      <rPr>
        <sz val="11"/>
        <color indexed="8"/>
        <rFont val="Arial"/>
        <family val="2"/>
      </rPr>
      <t>*</t>
    </r>
    <r>
      <rPr>
        <i/>
        <sz val="12"/>
        <color indexed="8"/>
        <rFont val="Arial"/>
        <family val="2"/>
      </rPr>
      <t>v</t>
    </r>
    <r>
      <rPr>
        <vertAlign val="subscript"/>
        <sz val="12"/>
        <color indexed="8"/>
        <rFont val="Arial"/>
        <family val="2"/>
      </rPr>
      <t>5_SA</t>
    </r>
  </si>
  <si>
    <r>
      <t>μ</t>
    </r>
    <r>
      <rPr>
        <vertAlign val="subscript"/>
        <sz val="12"/>
        <color indexed="8"/>
        <rFont val="Arial"/>
        <family val="2"/>
      </rPr>
      <t>H</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57"/>
        <rFont val="Arial"/>
        <family val="2"/>
      </rPr>
      <t>K</t>
    </r>
    <r>
      <rPr>
        <vertAlign val="subscript"/>
        <sz val="12"/>
        <color indexed="57"/>
        <rFont val="Arial"/>
        <family val="2"/>
      </rPr>
      <t>O2,H</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S</t>
    </r>
    <r>
      <rPr>
        <vertAlign val="subscript"/>
        <sz val="12"/>
        <color indexed="8"/>
        <rFont val="Arial"/>
        <family val="2"/>
      </rPr>
      <t>A</t>
    </r>
    <r>
      <rPr>
        <sz val="11"/>
        <color indexed="8"/>
        <rFont val="Arial"/>
        <family val="2"/>
      </rPr>
      <t>/(</t>
    </r>
    <r>
      <rPr>
        <i/>
        <sz val="12"/>
        <color indexed="57"/>
        <rFont val="Arial"/>
        <family val="2"/>
      </rPr>
      <t>K</t>
    </r>
    <r>
      <rPr>
        <vertAlign val="subscript"/>
        <sz val="12"/>
        <color indexed="57"/>
        <rFont val="Arial"/>
        <family val="2"/>
      </rPr>
      <t>A,H</t>
    </r>
    <r>
      <rPr>
        <sz val="11"/>
        <color indexed="8"/>
        <rFont val="Arial"/>
        <family val="2"/>
      </rPr>
      <t>+</t>
    </r>
    <r>
      <rPr>
        <i/>
        <sz val="12"/>
        <color indexed="8"/>
        <rFont val="Arial"/>
        <family val="2"/>
      </rPr>
      <t>S</t>
    </r>
    <r>
      <rPr>
        <vertAlign val="subscript"/>
        <sz val="12"/>
        <color indexed="8"/>
        <rFont val="Arial"/>
        <family val="2"/>
      </rPr>
      <t>A</t>
    </r>
    <r>
      <rPr>
        <sz val="11"/>
        <color indexed="8"/>
        <rFont val="Arial"/>
        <family val="2"/>
      </rPr>
      <t>)]*[</t>
    </r>
    <r>
      <rPr>
        <i/>
        <sz val="12"/>
        <color indexed="8"/>
        <rFont val="Arial"/>
        <family val="2"/>
      </rPr>
      <t>S</t>
    </r>
    <r>
      <rPr>
        <vertAlign val="subscript"/>
        <sz val="12"/>
        <color indexed="8"/>
        <rFont val="Arial"/>
        <family val="2"/>
      </rPr>
      <t>A</t>
    </r>
    <r>
      <rPr>
        <sz val="11"/>
        <color indexed="8"/>
        <rFont val="Arial"/>
        <family val="2"/>
      </rPr>
      <t>/(</t>
    </r>
    <r>
      <rPr>
        <i/>
        <sz val="12"/>
        <color indexed="8"/>
        <rFont val="Arial"/>
        <family val="2"/>
      </rPr>
      <t>S</t>
    </r>
    <r>
      <rPr>
        <vertAlign val="subscript"/>
        <sz val="12"/>
        <color indexed="8"/>
        <rFont val="Arial"/>
        <family val="2"/>
      </rPr>
      <t>F</t>
    </r>
    <r>
      <rPr>
        <sz val="11"/>
        <color indexed="8"/>
        <rFont val="Arial"/>
        <family val="2"/>
      </rPr>
      <t>+</t>
    </r>
    <r>
      <rPr>
        <i/>
        <sz val="12"/>
        <color indexed="8"/>
        <rFont val="Arial"/>
        <family val="2"/>
      </rPr>
      <t>S</t>
    </r>
    <r>
      <rPr>
        <vertAlign val="subscript"/>
        <sz val="12"/>
        <color indexed="8"/>
        <rFont val="Arial"/>
        <family val="2"/>
      </rPr>
      <t>A</t>
    </r>
    <r>
      <rPr>
        <sz val="11"/>
        <color indexed="8"/>
        <rFont val="Arial"/>
        <family val="2"/>
      </rPr>
      <t>)]*[</t>
    </r>
    <r>
      <rPr>
        <i/>
        <sz val="12"/>
        <color indexed="8"/>
        <rFont val="Arial"/>
        <family val="2"/>
      </rPr>
      <t>S</t>
    </r>
    <r>
      <rPr>
        <vertAlign val="subscript"/>
        <sz val="12"/>
        <color indexed="8"/>
        <rFont val="Arial"/>
        <family val="2"/>
      </rPr>
      <t>NH4</t>
    </r>
    <r>
      <rPr>
        <sz val="11"/>
        <color indexed="8"/>
        <rFont val="Arial"/>
        <family val="2"/>
      </rPr>
      <t>/(</t>
    </r>
    <r>
      <rPr>
        <i/>
        <sz val="12"/>
        <color indexed="57"/>
        <rFont val="Arial"/>
        <family val="2"/>
      </rPr>
      <t>K</t>
    </r>
    <r>
      <rPr>
        <vertAlign val="subscript"/>
        <sz val="12"/>
        <color indexed="57"/>
        <rFont val="Arial"/>
        <family val="2"/>
      </rPr>
      <t>NH4,H</t>
    </r>
    <r>
      <rPr>
        <sz val="11"/>
        <color indexed="8"/>
        <rFont val="Arial"/>
        <family val="2"/>
      </rPr>
      <t>+</t>
    </r>
    <r>
      <rPr>
        <i/>
        <sz val="12"/>
        <color indexed="8"/>
        <rFont val="Arial"/>
        <family val="2"/>
      </rPr>
      <t>S</t>
    </r>
    <r>
      <rPr>
        <vertAlign val="subscript"/>
        <sz val="12"/>
        <color indexed="8"/>
        <rFont val="Arial"/>
        <family val="2"/>
      </rPr>
      <t>NH4</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57"/>
        <rFont val="Arial"/>
        <family val="2"/>
      </rPr>
      <t>K</t>
    </r>
    <r>
      <rPr>
        <vertAlign val="subscript"/>
        <sz val="12"/>
        <color indexed="57"/>
        <rFont val="Arial"/>
        <family val="2"/>
      </rPr>
      <t>P,H</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57"/>
        <rFont val="Arial"/>
        <family val="2"/>
      </rPr>
      <t>K</t>
    </r>
    <r>
      <rPr>
        <vertAlign val="subscript"/>
        <sz val="12"/>
        <color indexed="57"/>
        <rFont val="Arial"/>
        <family val="2"/>
      </rPr>
      <t>ALK,H</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H</t>
    </r>
  </si>
  <si>
    <r>
      <t>Anoxic growth on S</t>
    </r>
    <r>
      <rPr>
        <b/>
        <vertAlign val="subscript"/>
        <sz val="11"/>
        <color indexed="8"/>
        <rFont val="Arial"/>
        <family val="2"/>
      </rPr>
      <t>F</t>
    </r>
  </si>
  <si>
    <r>
      <t>-(1-</t>
    </r>
    <r>
      <rPr>
        <i/>
        <sz val="12"/>
        <color indexed="8"/>
        <rFont val="Arial"/>
        <family val="2"/>
      </rPr>
      <t>Y</t>
    </r>
    <r>
      <rPr>
        <vertAlign val="subscript"/>
        <sz val="12"/>
        <color indexed="8"/>
        <rFont val="Arial"/>
        <family val="2"/>
      </rPr>
      <t>H</t>
    </r>
    <r>
      <rPr>
        <sz val="11"/>
        <color indexed="8"/>
        <rFont val="Arial"/>
        <family val="2"/>
      </rPr>
      <t>)/(</t>
    </r>
    <r>
      <rPr>
        <i/>
        <sz val="12"/>
        <color indexed="8"/>
        <rFont val="Arial"/>
        <family val="2"/>
      </rPr>
      <t>i</t>
    </r>
    <r>
      <rPr>
        <vertAlign val="subscript"/>
        <sz val="12"/>
        <color indexed="8"/>
        <rFont val="Arial"/>
        <family val="2"/>
      </rPr>
      <t>NOx,N2</t>
    </r>
    <r>
      <rPr>
        <sz val="11"/>
        <color indexed="8"/>
        <rFont val="Arial"/>
        <family val="2"/>
      </rPr>
      <t>*</t>
    </r>
    <r>
      <rPr>
        <i/>
        <sz val="12"/>
        <color indexed="8"/>
        <rFont val="Arial"/>
        <family val="2"/>
      </rPr>
      <t>Y</t>
    </r>
    <r>
      <rPr>
        <vertAlign val="subscript"/>
        <sz val="12"/>
        <color indexed="8"/>
        <rFont val="Arial"/>
        <family val="2"/>
      </rPr>
      <t>H</t>
    </r>
    <r>
      <rPr>
        <sz val="11"/>
        <color indexed="8"/>
        <rFont val="Arial"/>
        <family val="2"/>
      </rPr>
      <t>)</t>
    </r>
  </si>
  <si>
    <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6_NH4</t>
    </r>
    <r>
      <rPr>
        <sz val="12"/>
        <color indexed="8"/>
        <rFont val="Arial"/>
        <family val="2"/>
      </rPr>
      <t>+</t>
    </r>
    <r>
      <rPr>
        <i/>
        <sz val="12"/>
        <color indexed="8"/>
        <rFont val="Arial"/>
        <family val="2"/>
      </rPr>
      <t>i</t>
    </r>
    <r>
      <rPr>
        <vertAlign val="subscript"/>
        <sz val="12"/>
        <color indexed="8"/>
        <rFont val="Arial"/>
        <family val="2"/>
      </rPr>
      <t>Charge_PO4</t>
    </r>
    <r>
      <rPr>
        <sz val="12"/>
        <color indexed="8"/>
        <rFont val="Arial"/>
        <family val="2"/>
      </rPr>
      <t>*</t>
    </r>
    <r>
      <rPr>
        <i/>
        <sz val="12"/>
        <color indexed="8"/>
        <rFont val="Arial"/>
        <family val="2"/>
      </rPr>
      <t>v</t>
    </r>
    <r>
      <rPr>
        <vertAlign val="subscript"/>
        <sz val="12"/>
        <color indexed="8"/>
        <rFont val="Arial"/>
        <family val="2"/>
      </rPr>
      <t>6_PO4</t>
    </r>
    <r>
      <rPr>
        <sz val="12"/>
        <color indexed="8"/>
        <rFont val="Arial"/>
        <family val="2"/>
      </rPr>
      <t>+</t>
    </r>
    <r>
      <rPr>
        <i/>
        <sz val="12"/>
        <color indexed="8"/>
        <rFont val="Arial"/>
        <family val="2"/>
      </rPr>
      <t>i</t>
    </r>
    <r>
      <rPr>
        <vertAlign val="subscript"/>
        <sz val="12"/>
        <color indexed="8"/>
        <rFont val="Arial"/>
        <family val="2"/>
      </rPr>
      <t>Charge_NOx</t>
    </r>
    <r>
      <rPr>
        <sz val="12"/>
        <color indexed="8"/>
        <rFont val="Arial"/>
        <family val="2"/>
      </rPr>
      <t>*</t>
    </r>
    <r>
      <rPr>
        <i/>
        <sz val="12"/>
        <color indexed="8"/>
        <rFont val="Arial"/>
        <family val="2"/>
      </rPr>
      <t>v</t>
    </r>
    <r>
      <rPr>
        <vertAlign val="subscript"/>
        <sz val="12"/>
        <color indexed="8"/>
        <rFont val="Arial"/>
        <family val="2"/>
      </rPr>
      <t>6_NOx</t>
    </r>
  </si>
  <si>
    <r>
      <t>(1-</t>
    </r>
    <r>
      <rPr>
        <i/>
        <sz val="12"/>
        <color indexed="8"/>
        <rFont val="Arial"/>
        <family val="2"/>
      </rPr>
      <t>Y</t>
    </r>
    <r>
      <rPr>
        <vertAlign val="subscript"/>
        <sz val="12"/>
        <color indexed="8"/>
        <rFont val="Arial"/>
        <family val="2"/>
      </rPr>
      <t>H</t>
    </r>
    <r>
      <rPr>
        <sz val="11"/>
        <color indexed="8"/>
        <rFont val="Arial"/>
        <family val="2"/>
      </rPr>
      <t>)/(</t>
    </r>
    <r>
      <rPr>
        <i/>
        <sz val="12"/>
        <color indexed="8"/>
        <rFont val="Arial"/>
        <family val="2"/>
      </rPr>
      <t>i</t>
    </r>
    <r>
      <rPr>
        <vertAlign val="subscript"/>
        <sz val="12"/>
        <color indexed="8"/>
        <rFont val="Arial"/>
        <family val="2"/>
      </rPr>
      <t>NOx,N2</t>
    </r>
    <r>
      <rPr>
        <sz val="11"/>
        <color indexed="8"/>
        <rFont val="Arial"/>
        <family val="2"/>
      </rPr>
      <t>*</t>
    </r>
    <r>
      <rPr>
        <i/>
        <sz val="12"/>
        <color indexed="8"/>
        <rFont val="Arial"/>
        <family val="2"/>
      </rPr>
      <t>Y</t>
    </r>
    <r>
      <rPr>
        <vertAlign val="subscript"/>
        <sz val="12"/>
        <color indexed="8"/>
        <rFont val="Arial"/>
        <family val="2"/>
      </rPr>
      <t>H</t>
    </r>
    <r>
      <rPr>
        <sz val="11"/>
        <color indexed="8"/>
        <rFont val="Arial"/>
        <family val="2"/>
      </rPr>
      <t>)</t>
    </r>
  </si>
  <si>
    <r>
      <t>μ</t>
    </r>
    <r>
      <rPr>
        <vertAlign val="subscript"/>
        <sz val="12"/>
        <color indexed="8"/>
        <rFont val="Arial"/>
        <family val="2"/>
      </rPr>
      <t>H</t>
    </r>
    <r>
      <rPr>
        <sz val="11"/>
        <color indexed="8"/>
        <rFont val="Arial"/>
        <family val="2"/>
      </rPr>
      <t>*</t>
    </r>
    <r>
      <rPr>
        <i/>
        <sz val="12"/>
        <color indexed="57"/>
        <rFont val="Arial"/>
        <family val="2"/>
      </rPr>
      <t>η</t>
    </r>
    <r>
      <rPr>
        <vertAlign val="subscript"/>
        <sz val="12"/>
        <color indexed="57"/>
        <rFont val="Arial"/>
        <family val="2"/>
      </rPr>
      <t>NO3,H</t>
    </r>
    <r>
      <rPr>
        <sz val="11"/>
        <color indexed="8"/>
        <rFont val="Arial"/>
        <family val="2"/>
      </rPr>
      <t>*[</t>
    </r>
    <r>
      <rPr>
        <i/>
        <sz val="12"/>
        <color indexed="57"/>
        <rFont val="Arial"/>
        <family val="2"/>
      </rPr>
      <t>K</t>
    </r>
    <r>
      <rPr>
        <vertAlign val="subscript"/>
        <sz val="12"/>
        <color indexed="57"/>
        <rFont val="Arial"/>
        <family val="2"/>
      </rPr>
      <t>O2,H</t>
    </r>
    <r>
      <rPr>
        <sz val="11"/>
        <color indexed="8"/>
        <rFont val="Arial"/>
        <family val="2"/>
      </rPr>
      <t>/(</t>
    </r>
    <r>
      <rPr>
        <i/>
        <sz val="12"/>
        <color indexed="57"/>
        <rFont val="Arial"/>
        <family val="2"/>
      </rPr>
      <t>K</t>
    </r>
    <r>
      <rPr>
        <vertAlign val="subscript"/>
        <sz val="12"/>
        <color indexed="57"/>
        <rFont val="Arial"/>
        <family val="2"/>
      </rPr>
      <t>O2,H</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sz val="11"/>
        <rFont val="Arial"/>
        <family val="2"/>
      </rPr>
      <t>[</t>
    </r>
    <r>
      <rPr>
        <i/>
        <sz val="12"/>
        <color indexed="57"/>
        <rFont val="Arial"/>
        <family val="2"/>
      </rPr>
      <t>S</t>
    </r>
    <r>
      <rPr>
        <vertAlign val="subscript"/>
        <sz val="12"/>
        <color indexed="57"/>
        <rFont val="Arial"/>
        <family val="2"/>
      </rPr>
      <t>NO3</t>
    </r>
    <r>
      <rPr>
        <sz val="11"/>
        <rFont val="Arial"/>
        <family val="2"/>
      </rPr>
      <t>/(</t>
    </r>
    <r>
      <rPr>
        <i/>
        <sz val="12"/>
        <color indexed="57"/>
        <rFont val="Arial"/>
        <family val="2"/>
      </rPr>
      <t>K</t>
    </r>
    <r>
      <rPr>
        <vertAlign val="subscript"/>
        <sz val="12"/>
        <color indexed="57"/>
        <rFont val="Arial"/>
        <family val="2"/>
      </rPr>
      <t>NO3,H</t>
    </r>
    <r>
      <rPr>
        <sz val="11"/>
        <rFont val="Arial"/>
        <family val="2"/>
      </rPr>
      <t>+</t>
    </r>
    <r>
      <rPr>
        <i/>
        <sz val="12"/>
        <rFont val="Arial"/>
        <family val="2"/>
      </rPr>
      <t>S</t>
    </r>
    <r>
      <rPr>
        <vertAlign val="subscript"/>
        <sz val="12"/>
        <rFont val="Arial"/>
        <family val="2"/>
      </rPr>
      <t>NO3</t>
    </r>
    <r>
      <rPr>
        <sz val="11"/>
        <rFont val="Arial"/>
        <family val="2"/>
      </rPr>
      <t>)]</t>
    </r>
    <r>
      <rPr>
        <sz val="11"/>
        <color indexed="8"/>
        <rFont val="Arial"/>
        <family val="2"/>
      </rPr>
      <t>*[</t>
    </r>
    <r>
      <rPr>
        <i/>
        <sz val="12"/>
        <color indexed="8"/>
        <rFont val="Arial"/>
        <family val="2"/>
      </rPr>
      <t>S</t>
    </r>
    <r>
      <rPr>
        <vertAlign val="subscript"/>
        <sz val="12"/>
        <color indexed="8"/>
        <rFont val="Arial"/>
        <family val="2"/>
      </rPr>
      <t>F</t>
    </r>
    <r>
      <rPr>
        <sz val="11"/>
        <color indexed="8"/>
        <rFont val="Arial"/>
        <family val="2"/>
      </rPr>
      <t>/(</t>
    </r>
    <r>
      <rPr>
        <i/>
        <sz val="12"/>
        <color indexed="8"/>
        <rFont val="Arial"/>
        <family val="2"/>
      </rPr>
      <t>K</t>
    </r>
    <r>
      <rPr>
        <vertAlign val="subscript"/>
        <sz val="12"/>
        <color indexed="8"/>
        <rFont val="Arial"/>
        <family val="2"/>
      </rPr>
      <t>F</t>
    </r>
    <r>
      <rPr>
        <sz val="11"/>
        <color indexed="8"/>
        <rFont val="Arial"/>
        <family val="2"/>
      </rPr>
      <t>+</t>
    </r>
    <r>
      <rPr>
        <i/>
        <sz val="12"/>
        <color indexed="8"/>
        <rFont val="Arial"/>
        <family val="2"/>
      </rPr>
      <t>S</t>
    </r>
    <r>
      <rPr>
        <vertAlign val="subscript"/>
        <sz val="12"/>
        <color indexed="8"/>
        <rFont val="Arial"/>
        <family val="2"/>
      </rPr>
      <t>F</t>
    </r>
    <r>
      <rPr>
        <sz val="11"/>
        <color indexed="8"/>
        <rFont val="Arial"/>
        <family val="2"/>
      </rPr>
      <t>)]*[</t>
    </r>
    <r>
      <rPr>
        <i/>
        <sz val="12"/>
        <color indexed="8"/>
        <rFont val="Arial"/>
        <family val="2"/>
      </rPr>
      <t>S</t>
    </r>
    <r>
      <rPr>
        <vertAlign val="subscript"/>
        <sz val="12"/>
        <color indexed="8"/>
        <rFont val="Arial"/>
        <family val="2"/>
      </rPr>
      <t>F</t>
    </r>
    <r>
      <rPr>
        <sz val="11"/>
        <color indexed="8"/>
        <rFont val="Arial"/>
        <family val="2"/>
      </rPr>
      <t>/(</t>
    </r>
    <r>
      <rPr>
        <i/>
        <sz val="12"/>
        <color indexed="8"/>
        <rFont val="Arial"/>
        <family val="2"/>
      </rPr>
      <t>S</t>
    </r>
    <r>
      <rPr>
        <vertAlign val="subscript"/>
        <sz val="12"/>
        <color indexed="8"/>
        <rFont val="Arial"/>
        <family val="2"/>
      </rPr>
      <t>F</t>
    </r>
    <r>
      <rPr>
        <sz val="11"/>
        <color indexed="8"/>
        <rFont val="Arial"/>
        <family val="2"/>
      </rPr>
      <t>+</t>
    </r>
    <r>
      <rPr>
        <i/>
        <sz val="12"/>
        <color indexed="8"/>
        <rFont val="Arial"/>
        <family val="2"/>
      </rPr>
      <t>S</t>
    </r>
    <r>
      <rPr>
        <vertAlign val="subscript"/>
        <sz val="12"/>
        <color indexed="8"/>
        <rFont val="Arial"/>
        <family val="2"/>
      </rPr>
      <t>A</t>
    </r>
    <r>
      <rPr>
        <sz val="11"/>
        <color indexed="8"/>
        <rFont val="Arial"/>
        <family val="2"/>
      </rPr>
      <t>)]*[</t>
    </r>
    <r>
      <rPr>
        <i/>
        <sz val="12"/>
        <color indexed="8"/>
        <rFont val="Arial"/>
        <family val="2"/>
      </rPr>
      <t>S</t>
    </r>
    <r>
      <rPr>
        <vertAlign val="subscript"/>
        <sz val="12"/>
        <color indexed="8"/>
        <rFont val="Arial"/>
        <family val="2"/>
      </rPr>
      <t>NH4</t>
    </r>
    <r>
      <rPr>
        <sz val="11"/>
        <color indexed="8"/>
        <rFont val="Arial"/>
        <family val="2"/>
      </rPr>
      <t>/(</t>
    </r>
    <r>
      <rPr>
        <i/>
        <sz val="12"/>
        <color indexed="57"/>
        <rFont val="Arial"/>
        <family val="2"/>
      </rPr>
      <t>K</t>
    </r>
    <r>
      <rPr>
        <vertAlign val="subscript"/>
        <sz val="12"/>
        <color indexed="57"/>
        <rFont val="Arial"/>
        <family val="2"/>
      </rPr>
      <t>NH4,H</t>
    </r>
    <r>
      <rPr>
        <sz val="11"/>
        <color indexed="8"/>
        <rFont val="Arial"/>
        <family val="2"/>
      </rPr>
      <t>+</t>
    </r>
    <r>
      <rPr>
        <i/>
        <sz val="12"/>
        <color indexed="8"/>
        <rFont val="Arial"/>
        <family val="2"/>
      </rPr>
      <t>S</t>
    </r>
    <r>
      <rPr>
        <vertAlign val="subscript"/>
        <sz val="12"/>
        <color indexed="8"/>
        <rFont val="Arial"/>
        <family val="2"/>
      </rPr>
      <t>NH4</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57"/>
        <rFont val="Arial"/>
        <family val="2"/>
      </rPr>
      <t>K</t>
    </r>
    <r>
      <rPr>
        <vertAlign val="subscript"/>
        <sz val="12"/>
        <color indexed="57"/>
        <rFont val="Arial"/>
        <family val="2"/>
      </rPr>
      <t>P,H</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57"/>
        <rFont val="Arial"/>
        <family val="2"/>
      </rPr>
      <t>K</t>
    </r>
    <r>
      <rPr>
        <vertAlign val="subscript"/>
        <sz val="12"/>
        <color indexed="57"/>
        <rFont val="Arial"/>
        <family val="2"/>
      </rPr>
      <t>ALK,H</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H</t>
    </r>
  </si>
  <si>
    <r>
      <t>Ammonium and ammonia nitrogen (NH</t>
    </r>
    <r>
      <rPr>
        <vertAlign val="subscript"/>
        <sz val="10"/>
        <rFont val="Arial"/>
        <family val="2"/>
      </rPr>
      <t>4</t>
    </r>
    <r>
      <rPr>
        <sz val="10"/>
        <rFont val="Arial"/>
        <family val="2"/>
      </rPr>
      <t xml:space="preserve"> + NH</t>
    </r>
    <r>
      <rPr>
        <vertAlign val="subscript"/>
        <sz val="10"/>
        <rFont val="Arial"/>
        <family val="2"/>
      </rPr>
      <t>3</t>
    </r>
    <r>
      <rPr>
        <sz val="10"/>
        <rFont val="Arial"/>
        <family val="2"/>
      </rPr>
      <t>)</t>
    </r>
  </si>
  <si>
    <r>
      <t>Anoxic growth on S</t>
    </r>
    <r>
      <rPr>
        <b/>
        <vertAlign val="subscript"/>
        <sz val="11"/>
        <color indexed="8"/>
        <rFont val="Arial"/>
        <family val="2"/>
      </rPr>
      <t>A</t>
    </r>
  </si>
  <si>
    <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7_NH4</t>
    </r>
    <r>
      <rPr>
        <sz val="12"/>
        <color indexed="8"/>
        <rFont val="Arial"/>
        <family val="2"/>
      </rPr>
      <t>+</t>
    </r>
    <r>
      <rPr>
        <i/>
        <sz val="12"/>
        <color indexed="8"/>
        <rFont val="Arial"/>
        <family val="2"/>
      </rPr>
      <t>i</t>
    </r>
    <r>
      <rPr>
        <vertAlign val="subscript"/>
        <sz val="12"/>
        <color indexed="8"/>
        <rFont val="Arial"/>
        <family val="2"/>
      </rPr>
      <t>Charge_PO4</t>
    </r>
    <r>
      <rPr>
        <sz val="12"/>
        <color indexed="8"/>
        <rFont val="Arial"/>
        <family val="2"/>
      </rPr>
      <t>*</t>
    </r>
    <r>
      <rPr>
        <i/>
        <sz val="12"/>
        <color indexed="8"/>
        <rFont val="Arial"/>
        <family val="2"/>
      </rPr>
      <t>v</t>
    </r>
    <r>
      <rPr>
        <vertAlign val="subscript"/>
        <sz val="12"/>
        <color indexed="8"/>
        <rFont val="Arial"/>
        <family val="2"/>
      </rPr>
      <t>7_PO4</t>
    </r>
    <r>
      <rPr>
        <sz val="12"/>
        <color indexed="8"/>
        <rFont val="Arial"/>
        <family val="2"/>
      </rPr>
      <t>+</t>
    </r>
    <r>
      <rPr>
        <i/>
        <sz val="12"/>
        <color indexed="8"/>
        <rFont val="Arial"/>
        <family val="2"/>
      </rPr>
      <t>i</t>
    </r>
    <r>
      <rPr>
        <vertAlign val="subscript"/>
        <sz val="12"/>
        <color indexed="8"/>
        <rFont val="Arial"/>
        <family val="2"/>
      </rPr>
      <t>Charge_NOx</t>
    </r>
    <r>
      <rPr>
        <sz val="12"/>
        <color indexed="8"/>
        <rFont val="Arial"/>
        <family val="2"/>
      </rPr>
      <t>*</t>
    </r>
    <r>
      <rPr>
        <i/>
        <sz val="12"/>
        <color indexed="8"/>
        <rFont val="Arial"/>
        <family val="2"/>
      </rPr>
      <t>v</t>
    </r>
    <r>
      <rPr>
        <vertAlign val="subscript"/>
        <sz val="12"/>
        <color indexed="8"/>
        <rFont val="Arial"/>
        <family val="2"/>
      </rPr>
      <t>7_NOx</t>
    </r>
    <r>
      <rPr>
        <sz val="12"/>
        <color indexed="8"/>
        <rFont val="Arial"/>
        <family val="2"/>
      </rPr>
      <t>+</t>
    </r>
    <r>
      <rPr>
        <i/>
        <sz val="12"/>
        <color indexed="8"/>
        <rFont val="Arial"/>
        <family val="2"/>
      </rPr>
      <t>i</t>
    </r>
    <r>
      <rPr>
        <vertAlign val="subscript"/>
        <sz val="12"/>
        <color indexed="8"/>
        <rFont val="Arial"/>
        <family val="2"/>
      </rPr>
      <t>Charge_Ac</t>
    </r>
    <r>
      <rPr>
        <sz val="12"/>
        <color indexed="8"/>
        <rFont val="Arial"/>
        <family val="2"/>
      </rPr>
      <t>*</t>
    </r>
    <r>
      <rPr>
        <i/>
        <sz val="12"/>
        <color indexed="8"/>
        <rFont val="Arial"/>
        <family val="2"/>
      </rPr>
      <t>v</t>
    </r>
    <r>
      <rPr>
        <vertAlign val="subscript"/>
        <sz val="12"/>
        <color indexed="8"/>
        <rFont val="Arial"/>
        <family val="2"/>
      </rPr>
      <t>7_SA</t>
    </r>
  </si>
  <si>
    <r>
      <t>(1-</t>
    </r>
    <r>
      <rPr>
        <i/>
        <sz val="12"/>
        <color indexed="57"/>
        <rFont val="Arial"/>
        <family val="2"/>
      </rPr>
      <t>Y</t>
    </r>
    <r>
      <rPr>
        <vertAlign val="subscript"/>
        <sz val="12"/>
        <color indexed="57"/>
        <rFont val="Arial"/>
        <family val="2"/>
      </rPr>
      <t>H</t>
    </r>
    <r>
      <rPr>
        <b/>
        <sz val="11"/>
        <color indexed="57"/>
        <rFont val="Arial"/>
        <family val="2"/>
      </rPr>
      <t>)/(</t>
    </r>
    <r>
      <rPr>
        <i/>
        <sz val="12"/>
        <color indexed="57"/>
        <rFont val="Arial"/>
        <family val="2"/>
      </rPr>
      <t>i</t>
    </r>
    <r>
      <rPr>
        <vertAlign val="subscript"/>
        <sz val="12"/>
        <color indexed="57"/>
        <rFont val="Arial"/>
        <family val="2"/>
      </rPr>
      <t>NOx,N2</t>
    </r>
    <r>
      <rPr>
        <b/>
        <sz val="11"/>
        <color indexed="57"/>
        <rFont val="Arial"/>
        <family val="2"/>
      </rPr>
      <t>*</t>
    </r>
    <r>
      <rPr>
        <i/>
        <sz val="12"/>
        <color indexed="57"/>
        <rFont val="Arial"/>
        <family val="2"/>
      </rPr>
      <t>Y</t>
    </r>
    <r>
      <rPr>
        <vertAlign val="subscript"/>
        <sz val="12"/>
        <color indexed="57"/>
        <rFont val="Arial"/>
        <family val="2"/>
      </rPr>
      <t>H</t>
    </r>
    <r>
      <rPr>
        <b/>
        <sz val="11"/>
        <color indexed="57"/>
        <rFont val="Arial"/>
        <family val="2"/>
      </rPr>
      <t>)</t>
    </r>
  </si>
  <si>
    <r>
      <t>μ</t>
    </r>
    <r>
      <rPr>
        <vertAlign val="subscript"/>
        <sz val="12"/>
        <color indexed="8"/>
        <rFont val="Arial"/>
        <family val="2"/>
      </rPr>
      <t>H</t>
    </r>
    <r>
      <rPr>
        <sz val="11"/>
        <rFont val="Arial"/>
        <family val="2"/>
      </rPr>
      <t>*</t>
    </r>
    <r>
      <rPr>
        <i/>
        <sz val="12"/>
        <color indexed="57"/>
        <rFont val="Arial"/>
        <family val="2"/>
      </rPr>
      <t>η</t>
    </r>
    <r>
      <rPr>
        <vertAlign val="subscript"/>
        <sz val="12"/>
        <color indexed="57"/>
        <rFont val="Arial"/>
        <family val="2"/>
      </rPr>
      <t>NO3,H</t>
    </r>
    <r>
      <rPr>
        <sz val="11"/>
        <color indexed="8"/>
        <rFont val="Arial"/>
        <family val="2"/>
      </rPr>
      <t>*[</t>
    </r>
    <r>
      <rPr>
        <i/>
        <sz val="12"/>
        <color indexed="57"/>
        <rFont val="Arial"/>
        <family val="2"/>
      </rPr>
      <t>K</t>
    </r>
    <r>
      <rPr>
        <vertAlign val="subscript"/>
        <sz val="12"/>
        <color indexed="57"/>
        <rFont val="Arial"/>
        <family val="2"/>
      </rPr>
      <t>O2,H</t>
    </r>
    <r>
      <rPr>
        <sz val="11"/>
        <color indexed="8"/>
        <rFont val="Arial"/>
        <family val="2"/>
      </rPr>
      <t>/(</t>
    </r>
    <r>
      <rPr>
        <i/>
        <sz val="12"/>
        <color indexed="57"/>
        <rFont val="Arial"/>
        <family val="2"/>
      </rPr>
      <t>K</t>
    </r>
    <r>
      <rPr>
        <vertAlign val="subscript"/>
        <sz val="12"/>
        <color indexed="57"/>
        <rFont val="Arial"/>
        <family val="2"/>
      </rPr>
      <t>O2,H</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57"/>
        <rFont val="Arial"/>
        <family val="2"/>
      </rPr>
      <t>S</t>
    </r>
    <r>
      <rPr>
        <vertAlign val="subscript"/>
        <sz val="12"/>
        <color indexed="57"/>
        <rFont val="Arial"/>
        <family val="2"/>
      </rPr>
      <t>NO3</t>
    </r>
    <r>
      <rPr>
        <sz val="11"/>
        <rFont val="Arial"/>
        <family val="2"/>
      </rPr>
      <t>/(</t>
    </r>
    <r>
      <rPr>
        <i/>
        <sz val="12"/>
        <color indexed="57"/>
        <rFont val="Arial"/>
        <family val="2"/>
      </rPr>
      <t>K</t>
    </r>
    <r>
      <rPr>
        <vertAlign val="subscript"/>
        <sz val="12"/>
        <color indexed="57"/>
        <rFont val="Arial"/>
        <family val="2"/>
      </rPr>
      <t>NO3,H</t>
    </r>
    <r>
      <rPr>
        <sz val="11"/>
        <rFont val="Arial"/>
        <family val="2"/>
      </rPr>
      <t>+</t>
    </r>
    <r>
      <rPr>
        <i/>
        <sz val="12"/>
        <rFont val="Arial"/>
        <family val="2"/>
      </rPr>
      <t>S</t>
    </r>
    <r>
      <rPr>
        <vertAlign val="subscript"/>
        <sz val="12"/>
        <rFont val="Arial"/>
        <family val="2"/>
      </rPr>
      <t>NO3</t>
    </r>
    <r>
      <rPr>
        <sz val="11"/>
        <rFont val="Arial"/>
        <family val="2"/>
      </rPr>
      <t>)]</t>
    </r>
    <r>
      <rPr>
        <sz val="11"/>
        <color indexed="8"/>
        <rFont val="Arial"/>
        <family val="2"/>
      </rPr>
      <t>*[</t>
    </r>
    <r>
      <rPr>
        <i/>
        <sz val="12"/>
        <color indexed="8"/>
        <rFont val="Arial"/>
        <family val="2"/>
      </rPr>
      <t>S</t>
    </r>
    <r>
      <rPr>
        <vertAlign val="subscript"/>
        <sz val="12"/>
        <color indexed="8"/>
        <rFont val="Arial"/>
        <family val="2"/>
      </rPr>
      <t>A</t>
    </r>
    <r>
      <rPr>
        <sz val="11"/>
        <color indexed="8"/>
        <rFont val="Arial"/>
        <family val="2"/>
      </rPr>
      <t>/(</t>
    </r>
    <r>
      <rPr>
        <i/>
        <sz val="12"/>
        <color indexed="57"/>
        <rFont val="Arial"/>
        <family val="2"/>
      </rPr>
      <t>K</t>
    </r>
    <r>
      <rPr>
        <vertAlign val="subscript"/>
        <sz val="12"/>
        <color indexed="57"/>
        <rFont val="Arial"/>
        <family val="2"/>
      </rPr>
      <t>A,H</t>
    </r>
    <r>
      <rPr>
        <sz val="11"/>
        <color indexed="8"/>
        <rFont val="Arial"/>
        <family val="2"/>
      </rPr>
      <t>+</t>
    </r>
    <r>
      <rPr>
        <i/>
        <sz val="12"/>
        <color indexed="8"/>
        <rFont val="Arial"/>
        <family val="2"/>
      </rPr>
      <t>S</t>
    </r>
    <r>
      <rPr>
        <vertAlign val="subscript"/>
        <sz val="12"/>
        <color indexed="8"/>
        <rFont val="Arial"/>
        <family val="2"/>
      </rPr>
      <t>A</t>
    </r>
    <r>
      <rPr>
        <sz val="11"/>
        <color indexed="8"/>
        <rFont val="Arial"/>
        <family val="2"/>
      </rPr>
      <t>)]*[</t>
    </r>
    <r>
      <rPr>
        <i/>
        <sz val="12"/>
        <color indexed="8"/>
        <rFont val="Arial"/>
        <family val="2"/>
      </rPr>
      <t>S</t>
    </r>
    <r>
      <rPr>
        <vertAlign val="subscript"/>
        <sz val="12"/>
        <color indexed="8"/>
        <rFont val="Arial"/>
        <family val="2"/>
      </rPr>
      <t>A</t>
    </r>
    <r>
      <rPr>
        <sz val="11"/>
        <color indexed="8"/>
        <rFont val="Arial"/>
        <family val="2"/>
      </rPr>
      <t>/(</t>
    </r>
    <r>
      <rPr>
        <i/>
        <sz val="12"/>
        <color indexed="8"/>
        <rFont val="Arial"/>
        <family val="2"/>
      </rPr>
      <t>S</t>
    </r>
    <r>
      <rPr>
        <vertAlign val="subscript"/>
        <sz val="12"/>
        <color indexed="8"/>
        <rFont val="Arial"/>
        <family val="2"/>
      </rPr>
      <t>F</t>
    </r>
    <r>
      <rPr>
        <sz val="11"/>
        <color indexed="8"/>
        <rFont val="Arial"/>
        <family val="2"/>
      </rPr>
      <t>+</t>
    </r>
    <r>
      <rPr>
        <i/>
        <sz val="12"/>
        <color indexed="8"/>
        <rFont val="Arial"/>
        <family val="2"/>
      </rPr>
      <t>S</t>
    </r>
    <r>
      <rPr>
        <vertAlign val="subscript"/>
        <sz val="12"/>
        <color indexed="8"/>
        <rFont val="Arial"/>
        <family val="2"/>
      </rPr>
      <t>A</t>
    </r>
    <r>
      <rPr>
        <sz val="11"/>
        <color indexed="8"/>
        <rFont val="Arial"/>
        <family val="2"/>
      </rPr>
      <t>)]*[</t>
    </r>
    <r>
      <rPr>
        <i/>
        <sz val="12"/>
        <color indexed="8"/>
        <rFont val="Arial"/>
        <family val="2"/>
      </rPr>
      <t>S</t>
    </r>
    <r>
      <rPr>
        <vertAlign val="subscript"/>
        <sz val="12"/>
        <color indexed="8"/>
        <rFont val="Arial"/>
        <family val="2"/>
      </rPr>
      <t>NH4</t>
    </r>
    <r>
      <rPr>
        <sz val="11"/>
        <color indexed="8"/>
        <rFont val="Arial"/>
        <family val="2"/>
      </rPr>
      <t>/(</t>
    </r>
    <r>
      <rPr>
        <i/>
        <sz val="12"/>
        <color indexed="57"/>
        <rFont val="Arial"/>
        <family val="2"/>
      </rPr>
      <t>K</t>
    </r>
    <r>
      <rPr>
        <vertAlign val="subscript"/>
        <sz val="12"/>
        <color indexed="57"/>
        <rFont val="Arial"/>
        <family val="2"/>
      </rPr>
      <t>NH4,H</t>
    </r>
    <r>
      <rPr>
        <sz val="11"/>
        <color indexed="8"/>
        <rFont val="Arial"/>
        <family val="2"/>
      </rPr>
      <t>+</t>
    </r>
    <r>
      <rPr>
        <i/>
        <sz val="12"/>
        <color indexed="8"/>
        <rFont val="Arial"/>
        <family val="2"/>
      </rPr>
      <t>S</t>
    </r>
    <r>
      <rPr>
        <vertAlign val="subscript"/>
        <sz val="12"/>
        <color indexed="8"/>
        <rFont val="Arial"/>
        <family val="2"/>
      </rPr>
      <t>NH4</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57"/>
        <rFont val="Arial"/>
        <family val="2"/>
      </rPr>
      <t>K</t>
    </r>
    <r>
      <rPr>
        <vertAlign val="subscript"/>
        <sz val="12"/>
        <color indexed="57"/>
        <rFont val="Arial"/>
        <family val="2"/>
      </rPr>
      <t>P,H</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57"/>
        <rFont val="Arial"/>
        <family val="2"/>
      </rPr>
      <t>K</t>
    </r>
    <r>
      <rPr>
        <vertAlign val="subscript"/>
        <sz val="12"/>
        <color indexed="57"/>
        <rFont val="Arial"/>
        <family val="2"/>
      </rPr>
      <t>ALK,H</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H</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</si>
  <si>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8_NH4</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v</t>
    </r>
    <r>
      <rPr>
        <vertAlign val="subscript"/>
        <sz val="12"/>
        <color indexed="8"/>
        <rFont val="Arial"/>
        <family val="2"/>
      </rPr>
      <t>8_PO4</t>
    </r>
    <r>
      <rPr>
        <sz val="11"/>
        <color indexed="8"/>
        <rFont val="Arial"/>
        <family val="2"/>
      </rPr>
      <t>+</t>
    </r>
    <r>
      <rPr>
        <i/>
        <sz val="12"/>
        <color indexed="8"/>
        <rFont val="Arial"/>
        <family val="2"/>
      </rPr>
      <t>i</t>
    </r>
    <r>
      <rPr>
        <vertAlign val="subscript"/>
        <sz val="12"/>
        <color indexed="8"/>
        <rFont val="Arial"/>
        <family val="2"/>
      </rPr>
      <t>Charge_Ac</t>
    </r>
  </si>
  <si>
    <r>
      <t>q</t>
    </r>
    <r>
      <rPr>
        <vertAlign val="subscript"/>
        <sz val="12"/>
        <color indexed="8"/>
        <rFont val="Arial"/>
        <family val="2"/>
      </rPr>
      <t>fe</t>
    </r>
    <r>
      <rPr>
        <sz val="11"/>
        <color indexed="8"/>
        <rFont val="Arial"/>
        <family val="2"/>
      </rPr>
      <t>*[</t>
    </r>
    <r>
      <rPr>
        <i/>
        <sz val="12"/>
        <color indexed="8"/>
        <rFont val="Arial"/>
        <family val="2"/>
      </rPr>
      <t>K</t>
    </r>
    <r>
      <rPr>
        <vertAlign val="subscript"/>
        <sz val="12"/>
        <color indexed="8"/>
        <rFont val="Arial"/>
        <family val="2"/>
      </rPr>
      <t>O2,H</t>
    </r>
    <r>
      <rPr>
        <sz val="11"/>
        <color indexed="8"/>
        <rFont val="Arial"/>
        <family val="2"/>
      </rPr>
      <t>/(</t>
    </r>
    <r>
      <rPr>
        <i/>
        <sz val="12"/>
        <color indexed="57"/>
        <rFont val="Arial"/>
        <family val="2"/>
      </rPr>
      <t>K</t>
    </r>
    <r>
      <rPr>
        <vertAlign val="subscript"/>
        <sz val="12"/>
        <color indexed="57"/>
        <rFont val="Arial"/>
        <family val="2"/>
      </rPr>
      <t>O2,H</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57"/>
        <rFont val="Arial"/>
        <family val="2"/>
      </rPr>
      <t>K</t>
    </r>
    <r>
      <rPr>
        <vertAlign val="subscript"/>
        <sz val="12"/>
        <color indexed="57"/>
        <rFont val="Arial"/>
        <family val="2"/>
      </rPr>
      <t>NO3,H</t>
    </r>
    <r>
      <rPr>
        <sz val="11"/>
        <color indexed="8"/>
        <rFont val="Arial"/>
        <family val="2"/>
      </rPr>
      <t>/(</t>
    </r>
    <r>
      <rPr>
        <i/>
        <sz val="12"/>
        <color indexed="57"/>
        <rFont val="Arial"/>
        <family val="2"/>
      </rPr>
      <t>K</t>
    </r>
    <r>
      <rPr>
        <vertAlign val="subscript"/>
        <sz val="12"/>
        <color indexed="57"/>
        <rFont val="Arial"/>
        <family val="2"/>
      </rPr>
      <t>NO3,H</t>
    </r>
    <r>
      <rPr>
        <sz val="11"/>
        <color indexed="8"/>
        <rFont val="Arial"/>
        <family val="2"/>
      </rPr>
      <t>+</t>
    </r>
    <r>
      <rPr>
        <i/>
        <sz val="12"/>
        <color indexed="8"/>
        <rFont val="Arial"/>
        <family val="2"/>
      </rPr>
      <t>S</t>
    </r>
    <r>
      <rPr>
        <vertAlign val="subscript"/>
        <sz val="12"/>
        <color indexed="8"/>
        <rFont val="Arial"/>
        <family val="2"/>
      </rPr>
      <t>NO3</t>
    </r>
    <r>
      <rPr>
        <sz val="11"/>
        <color indexed="8"/>
        <rFont val="Arial"/>
        <family val="2"/>
      </rPr>
      <t>)]*[</t>
    </r>
    <r>
      <rPr>
        <i/>
        <sz val="12"/>
        <color indexed="8"/>
        <rFont val="Arial"/>
        <family val="2"/>
      </rPr>
      <t>S</t>
    </r>
    <r>
      <rPr>
        <vertAlign val="subscript"/>
        <sz val="12"/>
        <color indexed="8"/>
        <rFont val="Arial"/>
        <family val="2"/>
      </rPr>
      <t>F</t>
    </r>
    <r>
      <rPr>
        <sz val="11"/>
        <color indexed="8"/>
        <rFont val="Arial"/>
        <family val="2"/>
      </rPr>
      <t>/(</t>
    </r>
    <r>
      <rPr>
        <i/>
        <sz val="12"/>
        <color indexed="57"/>
        <rFont val="Arial"/>
        <family val="2"/>
      </rPr>
      <t>K</t>
    </r>
    <r>
      <rPr>
        <vertAlign val="subscript"/>
        <sz val="12"/>
        <color indexed="57"/>
        <rFont val="Arial"/>
        <family val="2"/>
      </rPr>
      <t>fe</t>
    </r>
    <r>
      <rPr>
        <sz val="11"/>
        <color indexed="8"/>
        <rFont val="Arial"/>
        <family val="2"/>
      </rPr>
      <t>+</t>
    </r>
    <r>
      <rPr>
        <i/>
        <sz val="12"/>
        <color indexed="8"/>
        <rFont val="Arial"/>
        <family val="2"/>
      </rPr>
      <t>S</t>
    </r>
    <r>
      <rPr>
        <vertAlign val="subscript"/>
        <sz val="12"/>
        <color indexed="8"/>
        <rFont val="Arial"/>
        <family val="2"/>
      </rPr>
      <t>F</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57"/>
        <rFont val="Arial"/>
        <family val="2"/>
      </rPr>
      <t>K</t>
    </r>
    <r>
      <rPr>
        <vertAlign val="subscript"/>
        <sz val="12"/>
        <color indexed="57"/>
        <rFont val="Arial"/>
        <family val="2"/>
      </rPr>
      <t>ALK,H</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H</t>
    </r>
  </si>
  <si>
    <r>
      <t>-(</t>
    </r>
    <r>
      <rPr>
        <i/>
        <sz val="12"/>
        <color indexed="8"/>
        <rFont val="Arial"/>
        <family val="2"/>
      </rPr>
      <t>f</t>
    </r>
    <r>
      <rPr>
        <vertAlign val="subscript"/>
        <sz val="12"/>
        <color indexed="8"/>
        <rFont val="Arial"/>
        <family val="2"/>
      </rPr>
      <t>XI</t>
    </r>
    <r>
      <rPr>
        <sz val="11"/>
        <color indexed="8"/>
        <rFont val="Arial"/>
        <family val="2"/>
      </rPr>
      <t>*</t>
    </r>
    <r>
      <rPr>
        <i/>
        <sz val="12"/>
        <color indexed="8"/>
        <rFont val="Arial"/>
        <family val="2"/>
      </rPr>
      <t>i</t>
    </r>
    <r>
      <rPr>
        <vertAlign val="subscript"/>
        <sz val="12"/>
        <color indexed="8"/>
        <rFont val="Arial"/>
        <family val="2"/>
      </rPr>
      <t>N,XI</t>
    </r>
    <r>
      <rPr>
        <sz val="11"/>
        <color indexed="8"/>
        <rFont val="Arial"/>
        <family val="2"/>
      </rPr>
      <t>+(1-</t>
    </r>
    <r>
      <rPr>
        <i/>
        <sz val="12"/>
        <color indexed="8"/>
        <rFont val="Arial"/>
        <family val="2"/>
      </rPr>
      <t>f</t>
    </r>
    <r>
      <rPr>
        <vertAlign val="subscript"/>
        <sz val="12"/>
        <color indexed="8"/>
        <rFont val="Arial"/>
        <family val="2"/>
      </rPr>
      <t>XI</t>
    </r>
    <r>
      <rPr>
        <sz val="11"/>
        <color indexed="8"/>
        <rFont val="Arial"/>
        <family val="2"/>
      </rPr>
      <t>)*</t>
    </r>
    <r>
      <rPr>
        <i/>
        <sz val="12"/>
        <color indexed="8"/>
        <rFont val="Arial"/>
        <family val="2"/>
      </rPr>
      <t>i</t>
    </r>
    <r>
      <rPr>
        <vertAlign val="subscript"/>
        <sz val="12"/>
        <color indexed="8"/>
        <rFont val="Arial"/>
        <family val="2"/>
      </rPr>
      <t>N,XS</t>
    </r>
    <r>
      <rPr>
        <sz val="11"/>
        <color indexed="8"/>
        <rFont val="Arial"/>
        <family val="2"/>
      </rPr>
      <t>-</t>
    </r>
    <r>
      <rPr>
        <i/>
        <sz val="12"/>
        <color indexed="8"/>
        <rFont val="Arial"/>
        <family val="2"/>
      </rPr>
      <t>i</t>
    </r>
    <r>
      <rPr>
        <vertAlign val="subscript"/>
        <sz val="12"/>
        <color indexed="8"/>
        <rFont val="Arial"/>
        <family val="2"/>
      </rPr>
      <t>N,BM</t>
    </r>
    <r>
      <rPr>
        <sz val="11"/>
        <color indexed="8"/>
        <rFont val="Arial"/>
        <family val="2"/>
      </rPr>
      <t>)</t>
    </r>
  </si>
  <si>
    <r>
      <t>-(</t>
    </r>
    <r>
      <rPr>
        <i/>
        <sz val="12"/>
        <color indexed="8"/>
        <rFont val="Arial"/>
        <family val="2"/>
      </rPr>
      <t>i</t>
    </r>
    <r>
      <rPr>
        <vertAlign val="subscript"/>
        <sz val="12"/>
        <color indexed="8"/>
        <rFont val="Arial"/>
        <family val="2"/>
      </rPr>
      <t>P,XI</t>
    </r>
    <r>
      <rPr>
        <sz val="11"/>
        <color indexed="8"/>
        <rFont val="Arial"/>
        <family val="2"/>
      </rPr>
      <t>*</t>
    </r>
    <r>
      <rPr>
        <i/>
        <sz val="12"/>
        <color indexed="8"/>
        <rFont val="Arial"/>
        <family val="2"/>
      </rPr>
      <t>f</t>
    </r>
    <r>
      <rPr>
        <vertAlign val="subscript"/>
        <sz val="12"/>
        <color indexed="8"/>
        <rFont val="Arial"/>
        <family val="2"/>
      </rPr>
      <t>XI</t>
    </r>
    <r>
      <rPr>
        <sz val="11"/>
        <color indexed="8"/>
        <rFont val="Arial"/>
        <family val="2"/>
      </rPr>
      <t>+(1-</t>
    </r>
    <r>
      <rPr>
        <i/>
        <sz val="12"/>
        <color indexed="8"/>
        <rFont val="Arial"/>
        <family val="2"/>
      </rPr>
      <t>f</t>
    </r>
    <r>
      <rPr>
        <vertAlign val="subscript"/>
        <sz val="12"/>
        <color indexed="8"/>
        <rFont val="Arial"/>
        <family val="2"/>
      </rPr>
      <t>XI</t>
    </r>
    <r>
      <rPr>
        <sz val="11"/>
        <color indexed="8"/>
        <rFont val="Arial"/>
        <family val="2"/>
      </rPr>
      <t>)*</t>
    </r>
    <r>
      <rPr>
        <i/>
        <sz val="12"/>
        <color indexed="8"/>
        <rFont val="Arial"/>
        <family val="2"/>
      </rPr>
      <t>i</t>
    </r>
    <r>
      <rPr>
        <vertAlign val="subscript"/>
        <sz val="12"/>
        <color indexed="8"/>
        <rFont val="Arial"/>
        <family val="2"/>
      </rPr>
      <t>P,XS</t>
    </r>
    <r>
      <rPr>
        <sz val="11"/>
        <color indexed="8"/>
        <rFont val="Arial"/>
        <family val="2"/>
      </rPr>
      <t>-</t>
    </r>
    <r>
      <rPr>
        <i/>
        <sz val="12"/>
        <color indexed="8"/>
        <rFont val="Arial"/>
        <family val="2"/>
      </rPr>
      <t>i</t>
    </r>
    <r>
      <rPr>
        <vertAlign val="subscript"/>
        <sz val="12"/>
        <color indexed="8"/>
        <rFont val="Arial"/>
        <family val="2"/>
      </rPr>
      <t>P,BM</t>
    </r>
    <r>
      <rPr>
        <sz val="11"/>
        <color indexed="8"/>
        <rFont val="Arial"/>
        <family val="2"/>
      </rPr>
      <t>)</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</si>
  <si>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9_NH4</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v</t>
    </r>
    <r>
      <rPr>
        <vertAlign val="subscript"/>
        <sz val="12"/>
        <color indexed="8"/>
        <rFont val="Arial"/>
        <family val="2"/>
      </rPr>
      <t>9_PO4</t>
    </r>
  </si>
  <si>
    <r>
      <t>1-</t>
    </r>
    <r>
      <rPr>
        <i/>
        <sz val="12"/>
        <color indexed="8"/>
        <rFont val="Arial"/>
        <family val="2"/>
      </rPr>
      <t>f</t>
    </r>
    <r>
      <rPr>
        <vertAlign val="subscript"/>
        <sz val="12"/>
        <color indexed="8"/>
        <rFont val="Arial"/>
        <family val="2"/>
      </rPr>
      <t>XI</t>
    </r>
  </si>
  <si>
    <r>
      <t>f</t>
    </r>
    <r>
      <rPr>
        <vertAlign val="subscript"/>
        <sz val="12"/>
        <color indexed="8"/>
        <rFont val="Arial"/>
        <family val="2"/>
      </rPr>
      <t>XI</t>
    </r>
    <r>
      <rPr>
        <sz val="11"/>
        <color indexed="8"/>
        <rFont val="Arial"/>
        <family val="2"/>
      </rPr>
      <t>*</t>
    </r>
    <r>
      <rPr>
        <i/>
        <sz val="12"/>
        <color indexed="8"/>
        <rFont val="Arial"/>
        <family val="2"/>
      </rPr>
      <t>i</t>
    </r>
    <r>
      <rPr>
        <vertAlign val="subscript"/>
        <sz val="12"/>
        <color indexed="8"/>
        <rFont val="Arial"/>
        <family val="2"/>
      </rPr>
      <t>TSS,XI</t>
    </r>
    <r>
      <rPr>
        <sz val="11"/>
        <color indexed="8"/>
        <rFont val="Arial"/>
        <family val="2"/>
      </rPr>
      <t>+(1-</t>
    </r>
    <r>
      <rPr>
        <i/>
        <sz val="12"/>
        <color indexed="8"/>
        <rFont val="Arial"/>
        <family val="2"/>
      </rPr>
      <t>f</t>
    </r>
    <r>
      <rPr>
        <vertAlign val="subscript"/>
        <sz val="12"/>
        <color indexed="8"/>
        <rFont val="Arial"/>
        <family val="2"/>
      </rPr>
      <t>XI</t>
    </r>
    <r>
      <rPr>
        <sz val="11"/>
        <color indexed="8"/>
        <rFont val="Arial"/>
        <family val="2"/>
      </rPr>
      <t>)*</t>
    </r>
    <r>
      <rPr>
        <i/>
        <sz val="12"/>
        <color indexed="8"/>
        <rFont val="Arial"/>
        <family val="2"/>
      </rPr>
      <t>i</t>
    </r>
    <r>
      <rPr>
        <vertAlign val="subscript"/>
        <sz val="12"/>
        <color indexed="8"/>
        <rFont val="Arial"/>
        <family val="2"/>
      </rPr>
      <t>TSS,XS</t>
    </r>
    <r>
      <rPr>
        <sz val="11"/>
        <color indexed="8"/>
        <rFont val="Arial"/>
        <family val="2"/>
      </rPr>
      <t>-</t>
    </r>
    <r>
      <rPr>
        <i/>
        <sz val="12"/>
        <color indexed="8"/>
        <rFont val="Arial"/>
        <family val="2"/>
      </rPr>
      <t>i</t>
    </r>
    <r>
      <rPr>
        <vertAlign val="subscript"/>
        <sz val="12"/>
        <color indexed="8"/>
        <rFont val="Arial"/>
        <family val="2"/>
      </rPr>
      <t>TSS,BM</t>
    </r>
  </si>
  <si>
    <r>
      <t>b</t>
    </r>
    <r>
      <rPr>
        <vertAlign val="subscript"/>
        <sz val="12"/>
        <color indexed="8"/>
        <rFont val="Arial"/>
        <family val="2"/>
      </rPr>
      <t>H</t>
    </r>
    <r>
      <rPr>
        <sz val="11"/>
        <color indexed="8"/>
        <rFont val="Arial"/>
        <family val="2"/>
      </rPr>
      <t>*</t>
    </r>
    <r>
      <rPr>
        <i/>
        <sz val="12"/>
        <color indexed="8"/>
        <rFont val="Arial"/>
        <family val="2"/>
      </rPr>
      <t>X</t>
    </r>
    <r>
      <rPr>
        <vertAlign val="subscript"/>
        <sz val="12"/>
        <color indexed="8"/>
        <rFont val="Arial"/>
        <family val="2"/>
      </rPr>
      <t>H</t>
    </r>
  </si>
  <si>
    <r>
      <t>Storage of X</t>
    </r>
    <r>
      <rPr>
        <b/>
        <vertAlign val="subscript"/>
        <sz val="11"/>
        <color indexed="8"/>
        <rFont val="Arial"/>
        <family val="2"/>
      </rPr>
      <t>PHA</t>
    </r>
  </si>
  <si>
    <r>
      <t>-</t>
    </r>
    <r>
      <rPr>
        <i/>
        <sz val="12"/>
        <color indexed="8"/>
        <rFont val="Arial"/>
        <family val="2"/>
      </rPr>
      <t>i</t>
    </r>
    <r>
      <rPr>
        <vertAlign val="subscript"/>
        <sz val="12"/>
        <color indexed="8"/>
        <rFont val="Arial"/>
        <family val="2"/>
      </rPr>
      <t>Charge_Ac</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Y</t>
    </r>
    <r>
      <rPr>
        <vertAlign val="subscript"/>
        <sz val="12"/>
        <color indexed="8"/>
        <rFont val="Arial"/>
        <family val="2"/>
      </rPr>
      <t>PO4</t>
    </r>
    <r>
      <rPr>
        <sz val="11"/>
        <color indexed="8"/>
        <rFont val="Arial"/>
        <family val="2"/>
      </rPr>
      <t>-</t>
    </r>
    <r>
      <rPr>
        <i/>
        <sz val="12"/>
        <color indexed="8"/>
        <rFont val="Arial"/>
        <family val="2"/>
      </rPr>
      <t>i</t>
    </r>
    <r>
      <rPr>
        <vertAlign val="subscript"/>
        <sz val="12"/>
        <color indexed="8"/>
        <rFont val="Arial"/>
        <family val="2"/>
      </rPr>
      <t>Charge_XPAO,PP</t>
    </r>
    <r>
      <rPr>
        <sz val="11"/>
        <color indexed="8"/>
        <rFont val="Arial"/>
        <family val="2"/>
      </rPr>
      <t>*</t>
    </r>
    <r>
      <rPr>
        <i/>
        <sz val="12"/>
        <color indexed="8"/>
        <rFont val="Arial"/>
        <family val="2"/>
      </rPr>
      <t>Y</t>
    </r>
    <r>
      <rPr>
        <vertAlign val="subscript"/>
        <sz val="12"/>
        <color indexed="8"/>
        <rFont val="Arial"/>
        <family val="2"/>
      </rPr>
      <t>PO4</t>
    </r>
  </si>
  <si>
    <r>
      <t>-</t>
    </r>
    <r>
      <rPr>
        <i/>
        <sz val="12"/>
        <color indexed="8"/>
        <rFont val="Arial"/>
        <family val="2"/>
      </rPr>
      <t>Y</t>
    </r>
    <r>
      <rPr>
        <vertAlign val="subscript"/>
        <sz val="12"/>
        <color indexed="8"/>
        <rFont val="Arial"/>
        <family val="2"/>
      </rPr>
      <t>PO4</t>
    </r>
  </si>
  <si>
    <r>
      <t>-</t>
    </r>
    <r>
      <rPr>
        <i/>
        <sz val="12"/>
        <color indexed="8"/>
        <rFont val="Arial"/>
        <family val="2"/>
      </rPr>
      <t>Y</t>
    </r>
    <r>
      <rPr>
        <vertAlign val="subscript"/>
        <sz val="12"/>
        <color indexed="8"/>
        <rFont val="Arial"/>
        <family val="2"/>
      </rPr>
      <t>PO4</t>
    </r>
    <r>
      <rPr>
        <sz val="11"/>
        <color indexed="8"/>
        <rFont val="Arial"/>
        <family val="2"/>
      </rPr>
      <t>*</t>
    </r>
    <r>
      <rPr>
        <i/>
        <sz val="12"/>
        <color indexed="8"/>
        <rFont val="Arial"/>
        <family val="2"/>
      </rPr>
      <t>i</t>
    </r>
    <r>
      <rPr>
        <vertAlign val="subscript"/>
        <sz val="12"/>
        <color indexed="8"/>
        <rFont val="Arial"/>
        <family val="2"/>
      </rPr>
      <t>TSS,XPP</t>
    </r>
    <r>
      <rPr>
        <sz val="11"/>
        <color indexed="8"/>
        <rFont val="Arial"/>
        <family val="2"/>
      </rPr>
      <t>+</t>
    </r>
    <r>
      <rPr>
        <i/>
        <sz val="12"/>
        <color indexed="8"/>
        <rFont val="Arial"/>
        <family val="2"/>
      </rPr>
      <t>i</t>
    </r>
    <r>
      <rPr>
        <vertAlign val="subscript"/>
        <sz val="12"/>
        <color indexed="8"/>
        <rFont val="Arial"/>
        <family val="2"/>
      </rPr>
      <t>TSS,XPHA</t>
    </r>
  </si>
  <si>
    <r>
      <t>q</t>
    </r>
    <r>
      <rPr>
        <vertAlign val="subscript"/>
        <sz val="12"/>
        <color indexed="8"/>
        <rFont val="Arial"/>
        <family val="2"/>
      </rPr>
      <t>PHA</t>
    </r>
    <r>
      <rPr>
        <sz val="11"/>
        <color indexed="8"/>
        <rFont val="Arial"/>
        <family val="2"/>
      </rPr>
      <t>*[</t>
    </r>
    <r>
      <rPr>
        <i/>
        <sz val="12"/>
        <color indexed="8"/>
        <rFont val="Arial"/>
        <family val="2"/>
      </rPr>
      <t>S</t>
    </r>
    <r>
      <rPr>
        <vertAlign val="subscript"/>
        <sz val="12"/>
        <color indexed="8"/>
        <rFont val="Arial"/>
        <family val="2"/>
      </rPr>
      <t>A</t>
    </r>
    <r>
      <rPr>
        <sz val="11"/>
        <color indexed="8"/>
        <rFont val="Arial"/>
        <family val="2"/>
      </rPr>
      <t>/(</t>
    </r>
    <r>
      <rPr>
        <i/>
        <sz val="12"/>
        <color indexed="57"/>
        <rFont val="Arial"/>
        <family val="2"/>
      </rPr>
      <t>K</t>
    </r>
    <r>
      <rPr>
        <vertAlign val="subscript"/>
        <sz val="12"/>
        <color indexed="57"/>
        <rFont val="Arial"/>
        <family val="2"/>
      </rPr>
      <t>A,PAO</t>
    </r>
    <r>
      <rPr>
        <sz val="11"/>
        <color indexed="8"/>
        <rFont val="Arial"/>
        <family val="2"/>
      </rPr>
      <t>+</t>
    </r>
    <r>
      <rPr>
        <i/>
        <sz val="12"/>
        <color indexed="8"/>
        <rFont val="Arial"/>
        <family val="2"/>
      </rPr>
      <t>S</t>
    </r>
    <r>
      <rPr>
        <vertAlign val="subscript"/>
        <sz val="12"/>
        <color indexed="8"/>
        <rFont val="Arial"/>
        <family val="2"/>
      </rPr>
      <t>A</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57"/>
        <rFont val="Arial"/>
        <family val="2"/>
      </rPr>
      <t>K</t>
    </r>
    <r>
      <rPr>
        <vertAlign val="subscript"/>
        <sz val="12"/>
        <color indexed="57"/>
        <rFont val="Arial"/>
        <family val="2"/>
      </rPr>
      <t>ALK,PAO</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PP</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K</t>
    </r>
    <r>
      <rPr>
        <vertAlign val="subscript"/>
        <sz val="12"/>
        <color indexed="8"/>
        <rFont val="Arial"/>
        <family val="2"/>
      </rPr>
      <t>PP</t>
    </r>
    <r>
      <rPr>
        <sz val="11"/>
        <color indexed="8"/>
        <rFont val="Arial"/>
        <family val="2"/>
      </rPr>
      <t>+(</t>
    </r>
    <r>
      <rPr>
        <i/>
        <sz val="12"/>
        <color indexed="8"/>
        <rFont val="Arial"/>
        <family val="2"/>
      </rPr>
      <t>X</t>
    </r>
    <r>
      <rPr>
        <vertAlign val="subscript"/>
        <sz val="12"/>
        <color indexed="8"/>
        <rFont val="Arial"/>
        <family val="2"/>
      </rPr>
      <t>PP</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X</t>
    </r>
    <r>
      <rPr>
        <vertAlign val="subscript"/>
        <sz val="12"/>
        <color indexed="8"/>
        <rFont val="Arial"/>
        <family val="2"/>
      </rPr>
      <t>PAO</t>
    </r>
  </si>
  <si>
    <r>
      <t>Aerobic Storage of X</t>
    </r>
    <r>
      <rPr>
        <b/>
        <vertAlign val="subscript"/>
        <sz val="11"/>
        <color indexed="8"/>
        <rFont val="Arial"/>
        <family val="2"/>
      </rPr>
      <t>PP</t>
    </r>
  </si>
  <si>
    <r>
      <t>-</t>
    </r>
    <r>
      <rPr>
        <i/>
        <sz val="12"/>
        <color indexed="8"/>
        <rFont val="Arial"/>
        <family val="2"/>
      </rPr>
      <t>Y</t>
    </r>
    <r>
      <rPr>
        <vertAlign val="subscript"/>
        <sz val="12"/>
        <color indexed="8"/>
        <rFont val="Arial"/>
        <family val="2"/>
      </rPr>
      <t>PHA</t>
    </r>
  </si>
  <si>
    <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i</t>
    </r>
    <r>
      <rPr>
        <vertAlign val="subscript"/>
        <sz val="12"/>
        <color indexed="8"/>
        <rFont val="Arial"/>
        <family val="2"/>
      </rPr>
      <t>Charge_XPAO,PP</t>
    </r>
  </si>
  <si>
    <r>
      <t>i</t>
    </r>
    <r>
      <rPr>
        <vertAlign val="subscript"/>
        <sz val="12"/>
        <color indexed="8"/>
        <rFont val="Arial"/>
        <family val="2"/>
      </rPr>
      <t>TSS,XPP</t>
    </r>
    <r>
      <rPr>
        <sz val="11"/>
        <color indexed="8"/>
        <rFont val="Arial"/>
        <family val="2"/>
      </rPr>
      <t>-</t>
    </r>
    <r>
      <rPr>
        <i/>
        <sz val="12"/>
        <color indexed="8"/>
        <rFont val="Arial"/>
        <family val="2"/>
      </rPr>
      <t>Y</t>
    </r>
    <r>
      <rPr>
        <vertAlign val="subscript"/>
        <sz val="12"/>
        <color indexed="8"/>
        <rFont val="Arial"/>
        <family val="2"/>
      </rPr>
      <t>PHA</t>
    </r>
    <r>
      <rPr>
        <sz val="11"/>
        <color indexed="8"/>
        <rFont val="Arial"/>
        <family val="2"/>
      </rPr>
      <t>*</t>
    </r>
    <r>
      <rPr>
        <i/>
        <sz val="12"/>
        <color indexed="8"/>
        <rFont val="Arial"/>
        <family val="2"/>
      </rPr>
      <t>i</t>
    </r>
    <r>
      <rPr>
        <vertAlign val="subscript"/>
        <sz val="12"/>
        <color indexed="8"/>
        <rFont val="Arial"/>
        <family val="2"/>
      </rPr>
      <t>TSS,XPHA</t>
    </r>
  </si>
  <si>
    <r>
      <t>q</t>
    </r>
    <r>
      <rPr>
        <vertAlign val="subscript"/>
        <sz val="12"/>
        <color indexed="8"/>
        <rFont val="Arial"/>
        <family val="2"/>
      </rPr>
      <t>PP</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57"/>
        <rFont val="Arial"/>
        <family val="2"/>
      </rPr>
      <t>K</t>
    </r>
    <r>
      <rPr>
        <vertAlign val="subscript"/>
        <sz val="12"/>
        <color indexed="57"/>
        <rFont val="Arial"/>
        <family val="2"/>
      </rPr>
      <t>O2,PAO</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K</t>
    </r>
    <r>
      <rPr>
        <vertAlign val="subscript"/>
        <sz val="12"/>
        <color indexed="8"/>
        <rFont val="Arial"/>
        <family val="2"/>
      </rPr>
      <t>PS</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57"/>
        <rFont val="Arial"/>
        <family val="2"/>
      </rPr>
      <t>K</t>
    </r>
    <r>
      <rPr>
        <vertAlign val="subscript"/>
        <sz val="12"/>
        <color indexed="57"/>
        <rFont val="Arial"/>
        <family val="2"/>
      </rPr>
      <t>ALK,PAO</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PHA</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K</t>
    </r>
    <r>
      <rPr>
        <vertAlign val="subscript"/>
        <sz val="12"/>
        <color indexed="8"/>
        <rFont val="Arial"/>
        <family val="2"/>
      </rPr>
      <t>PHA</t>
    </r>
    <r>
      <rPr>
        <sz val="11"/>
        <color indexed="8"/>
        <rFont val="Arial"/>
        <family val="2"/>
      </rPr>
      <t>+(</t>
    </r>
    <r>
      <rPr>
        <i/>
        <sz val="12"/>
        <color indexed="8"/>
        <rFont val="Arial"/>
        <family val="2"/>
      </rPr>
      <t>X</t>
    </r>
    <r>
      <rPr>
        <vertAlign val="subscript"/>
        <sz val="12"/>
        <color indexed="8"/>
        <rFont val="Arial"/>
        <family val="2"/>
      </rPr>
      <t>PHA</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K</t>
    </r>
    <r>
      <rPr>
        <vertAlign val="subscript"/>
        <sz val="12"/>
        <color indexed="8"/>
        <rFont val="Arial"/>
        <family val="2"/>
      </rPr>
      <t>Max</t>
    </r>
    <r>
      <rPr>
        <sz val="11"/>
        <color indexed="8"/>
        <rFont val="Arial"/>
        <family val="2"/>
      </rPr>
      <t>-</t>
    </r>
    <r>
      <rPr>
        <i/>
        <sz val="12"/>
        <color indexed="8"/>
        <rFont val="Arial"/>
        <family val="2"/>
      </rPr>
      <t>X</t>
    </r>
    <r>
      <rPr>
        <vertAlign val="subscript"/>
        <sz val="12"/>
        <color indexed="8"/>
        <rFont val="Arial"/>
        <family val="2"/>
      </rPr>
      <t>PP</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57"/>
        <rFont val="Arial"/>
        <family val="2"/>
      </rPr>
      <t>K</t>
    </r>
    <r>
      <rPr>
        <vertAlign val="subscript"/>
        <sz val="12"/>
        <color indexed="57"/>
        <rFont val="Arial"/>
        <family val="2"/>
      </rPr>
      <t>IPP</t>
    </r>
    <r>
      <rPr>
        <sz val="11"/>
        <color indexed="8"/>
        <rFont val="Arial"/>
        <family val="2"/>
      </rPr>
      <t>+</t>
    </r>
    <r>
      <rPr>
        <i/>
        <sz val="12"/>
        <color indexed="8"/>
        <rFont val="Arial"/>
        <family val="2"/>
      </rPr>
      <t>K</t>
    </r>
    <r>
      <rPr>
        <vertAlign val="subscript"/>
        <sz val="12"/>
        <color indexed="8"/>
        <rFont val="Arial"/>
        <family val="2"/>
      </rPr>
      <t>Max</t>
    </r>
    <r>
      <rPr>
        <sz val="11"/>
        <color indexed="8"/>
        <rFont val="Arial"/>
        <family val="2"/>
      </rPr>
      <t>-(</t>
    </r>
    <r>
      <rPr>
        <i/>
        <sz val="12"/>
        <color indexed="8"/>
        <rFont val="Arial"/>
        <family val="2"/>
      </rPr>
      <t>X</t>
    </r>
    <r>
      <rPr>
        <vertAlign val="subscript"/>
        <sz val="12"/>
        <color indexed="8"/>
        <rFont val="Arial"/>
        <family val="2"/>
      </rPr>
      <t>PP</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X</t>
    </r>
    <r>
      <rPr>
        <vertAlign val="subscript"/>
        <sz val="12"/>
        <color indexed="8"/>
        <rFont val="Arial"/>
        <family val="2"/>
      </rPr>
      <t>PAO</t>
    </r>
  </si>
  <si>
    <r>
      <t>Anoxic Storage of X</t>
    </r>
    <r>
      <rPr>
        <b/>
        <vertAlign val="subscript"/>
        <sz val="11"/>
        <color indexed="8"/>
        <rFont val="Arial"/>
        <family val="2"/>
      </rPr>
      <t>PP</t>
    </r>
  </si>
  <si>
    <r>
      <t>-</t>
    </r>
    <r>
      <rPr>
        <i/>
        <sz val="12"/>
        <color indexed="8"/>
        <rFont val="Arial"/>
        <family val="2"/>
      </rPr>
      <t>Y</t>
    </r>
    <r>
      <rPr>
        <vertAlign val="subscript"/>
        <sz val="12"/>
        <color indexed="8"/>
        <rFont val="Arial"/>
        <family val="2"/>
      </rPr>
      <t>PHA</t>
    </r>
    <r>
      <rPr>
        <sz val="11"/>
        <color indexed="8"/>
        <rFont val="Arial"/>
        <family val="2"/>
      </rPr>
      <t>*(1/</t>
    </r>
    <r>
      <rPr>
        <i/>
        <sz val="12"/>
        <color indexed="8"/>
        <rFont val="Arial"/>
        <family val="2"/>
      </rPr>
      <t>i</t>
    </r>
    <r>
      <rPr>
        <vertAlign val="subscript"/>
        <sz val="12"/>
        <color indexed="8"/>
        <rFont val="Arial"/>
        <family val="2"/>
      </rPr>
      <t>NOx,N2</t>
    </r>
    <r>
      <rPr>
        <sz val="11"/>
        <color indexed="8"/>
        <rFont val="Arial"/>
        <family val="2"/>
      </rPr>
      <t>)</t>
    </r>
  </si>
  <si>
    <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i</t>
    </r>
    <r>
      <rPr>
        <vertAlign val="subscript"/>
        <sz val="12"/>
        <color indexed="8"/>
        <rFont val="Arial"/>
        <family val="2"/>
      </rPr>
      <t>Charge_NOx</t>
    </r>
    <r>
      <rPr>
        <sz val="11"/>
        <color indexed="8"/>
        <rFont val="Arial"/>
        <family val="2"/>
      </rPr>
      <t>*</t>
    </r>
    <r>
      <rPr>
        <i/>
        <sz val="12"/>
        <color indexed="8"/>
        <rFont val="Arial"/>
        <family val="2"/>
      </rPr>
      <t>v</t>
    </r>
    <r>
      <rPr>
        <vertAlign val="subscript"/>
        <sz val="12"/>
        <color indexed="8"/>
        <rFont val="Arial"/>
        <family val="2"/>
      </rPr>
      <t>12_NOx</t>
    </r>
    <r>
      <rPr>
        <sz val="11"/>
        <color indexed="8"/>
        <rFont val="Arial"/>
        <family val="2"/>
      </rPr>
      <t>+</t>
    </r>
    <r>
      <rPr>
        <i/>
        <sz val="12"/>
        <color indexed="8"/>
        <rFont val="Arial"/>
        <family val="2"/>
      </rPr>
      <t>i</t>
    </r>
    <r>
      <rPr>
        <vertAlign val="subscript"/>
        <sz val="12"/>
        <color indexed="8"/>
        <rFont val="Arial"/>
        <family val="2"/>
      </rPr>
      <t>Charge_XPAO,PP</t>
    </r>
  </si>
  <si>
    <r>
      <t>Y</t>
    </r>
    <r>
      <rPr>
        <vertAlign val="subscript"/>
        <sz val="12"/>
        <color indexed="8"/>
        <rFont val="Arial"/>
        <family val="2"/>
      </rPr>
      <t>PHA</t>
    </r>
    <r>
      <rPr>
        <sz val="12"/>
        <color indexed="8"/>
        <rFont val="Arial"/>
        <family val="2"/>
      </rPr>
      <t>*(1/</t>
    </r>
    <r>
      <rPr>
        <i/>
        <sz val="12"/>
        <color indexed="8"/>
        <rFont val="Arial"/>
        <family val="2"/>
      </rPr>
      <t>i</t>
    </r>
    <r>
      <rPr>
        <vertAlign val="subscript"/>
        <sz val="12"/>
        <color indexed="8"/>
        <rFont val="Arial"/>
        <family val="2"/>
      </rPr>
      <t>NOx,N2</t>
    </r>
    <r>
      <rPr>
        <sz val="12"/>
        <color indexed="8"/>
        <rFont val="Arial"/>
        <family val="2"/>
      </rPr>
      <t>)</t>
    </r>
  </si>
  <si>
    <r>
      <t>q</t>
    </r>
    <r>
      <rPr>
        <vertAlign val="subscript"/>
        <sz val="12"/>
        <color indexed="8"/>
        <rFont val="Arial"/>
        <family val="2"/>
      </rPr>
      <t>PP</t>
    </r>
    <r>
      <rPr>
        <sz val="11"/>
        <color indexed="8"/>
        <rFont val="Arial"/>
        <family val="2"/>
      </rPr>
      <t>*</t>
    </r>
    <r>
      <rPr>
        <i/>
        <sz val="12"/>
        <color indexed="57"/>
        <rFont val="Arial"/>
        <family val="2"/>
      </rPr>
      <t>η</t>
    </r>
    <r>
      <rPr>
        <vertAlign val="subscript"/>
        <sz val="12"/>
        <color indexed="57"/>
        <rFont val="Arial"/>
        <family val="2"/>
      </rPr>
      <t>NO3,PAO</t>
    </r>
    <r>
      <rPr>
        <sz val="11"/>
        <color indexed="8"/>
        <rFont val="Arial"/>
        <family val="2"/>
      </rPr>
      <t>*[</t>
    </r>
    <r>
      <rPr>
        <i/>
        <sz val="12"/>
        <color indexed="8"/>
        <rFont val="Arial"/>
        <family val="2"/>
      </rPr>
      <t>S</t>
    </r>
    <r>
      <rPr>
        <vertAlign val="subscript"/>
        <sz val="12"/>
        <color indexed="8"/>
        <rFont val="Arial"/>
        <family val="2"/>
      </rPr>
      <t>NO3</t>
    </r>
    <r>
      <rPr>
        <sz val="11"/>
        <color indexed="8"/>
        <rFont val="Arial"/>
        <family val="2"/>
      </rPr>
      <t>/(</t>
    </r>
    <r>
      <rPr>
        <i/>
        <sz val="12"/>
        <color indexed="57"/>
        <rFont val="Arial"/>
        <family val="2"/>
      </rPr>
      <t>K</t>
    </r>
    <r>
      <rPr>
        <vertAlign val="subscript"/>
        <sz val="12"/>
        <color indexed="57"/>
        <rFont val="Arial"/>
        <family val="2"/>
      </rPr>
      <t>NO3,PAO</t>
    </r>
    <r>
      <rPr>
        <sz val="11"/>
        <color indexed="8"/>
        <rFont val="Arial"/>
        <family val="2"/>
      </rPr>
      <t>+</t>
    </r>
    <r>
      <rPr>
        <i/>
        <sz val="12"/>
        <color indexed="8"/>
        <rFont val="Arial"/>
        <family val="2"/>
      </rPr>
      <t>S</t>
    </r>
    <r>
      <rPr>
        <vertAlign val="subscript"/>
        <sz val="12"/>
        <color indexed="8"/>
        <rFont val="Arial"/>
        <family val="2"/>
      </rPr>
      <t>NO3</t>
    </r>
    <r>
      <rPr>
        <sz val="11"/>
        <color indexed="8"/>
        <rFont val="Arial"/>
        <family val="2"/>
      </rPr>
      <t>)]*[</t>
    </r>
    <r>
      <rPr>
        <i/>
        <sz val="12"/>
        <color indexed="8"/>
        <rFont val="Arial"/>
        <family val="2"/>
      </rPr>
      <t>K</t>
    </r>
    <r>
      <rPr>
        <vertAlign val="subscript"/>
        <sz val="12"/>
        <color indexed="8"/>
        <rFont val="Arial"/>
        <family val="2"/>
      </rPr>
      <t>O2</t>
    </r>
    <r>
      <rPr>
        <sz val="11"/>
        <color indexed="8"/>
        <rFont val="Arial"/>
        <family val="2"/>
      </rPr>
      <t>/(</t>
    </r>
    <r>
      <rPr>
        <i/>
        <sz val="12"/>
        <color indexed="57"/>
        <rFont val="Arial"/>
        <family val="2"/>
      </rPr>
      <t>K</t>
    </r>
    <r>
      <rPr>
        <vertAlign val="subscript"/>
        <sz val="12"/>
        <color indexed="57"/>
        <rFont val="Arial"/>
        <family val="2"/>
      </rPr>
      <t>O2,PAO</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K</t>
    </r>
    <r>
      <rPr>
        <vertAlign val="subscript"/>
        <sz val="12"/>
        <color indexed="8"/>
        <rFont val="Arial"/>
        <family val="2"/>
      </rPr>
      <t>PS</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57"/>
        <rFont val="Arial"/>
        <family val="2"/>
      </rPr>
      <t>K</t>
    </r>
    <r>
      <rPr>
        <vertAlign val="subscript"/>
        <sz val="12"/>
        <color indexed="57"/>
        <rFont val="Arial"/>
        <family val="2"/>
      </rPr>
      <t>ALK,PAO</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PHA</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K</t>
    </r>
    <r>
      <rPr>
        <vertAlign val="subscript"/>
        <sz val="12"/>
        <color indexed="8"/>
        <rFont val="Arial"/>
        <family val="2"/>
      </rPr>
      <t>PHA</t>
    </r>
    <r>
      <rPr>
        <sz val="11"/>
        <color indexed="8"/>
        <rFont val="Arial"/>
        <family val="2"/>
      </rPr>
      <t>+(</t>
    </r>
    <r>
      <rPr>
        <i/>
        <sz val="12"/>
        <color indexed="8"/>
        <rFont val="Arial"/>
        <family val="2"/>
      </rPr>
      <t>X</t>
    </r>
    <r>
      <rPr>
        <vertAlign val="subscript"/>
        <sz val="12"/>
        <color indexed="8"/>
        <rFont val="Arial"/>
        <family val="2"/>
      </rPr>
      <t>PHA</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K</t>
    </r>
    <r>
      <rPr>
        <vertAlign val="subscript"/>
        <sz val="12"/>
        <color indexed="8"/>
        <rFont val="Arial"/>
        <family val="2"/>
      </rPr>
      <t>Max</t>
    </r>
    <r>
      <rPr>
        <sz val="11"/>
        <color indexed="8"/>
        <rFont val="Arial"/>
        <family val="2"/>
      </rPr>
      <t>-</t>
    </r>
    <r>
      <rPr>
        <i/>
        <sz val="12"/>
        <color indexed="8"/>
        <rFont val="Arial"/>
        <family val="2"/>
      </rPr>
      <t>X</t>
    </r>
    <r>
      <rPr>
        <vertAlign val="subscript"/>
        <sz val="12"/>
        <color indexed="8"/>
        <rFont val="Arial"/>
        <family val="2"/>
      </rPr>
      <t>PP</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K</t>
    </r>
    <r>
      <rPr>
        <vertAlign val="subscript"/>
        <sz val="12"/>
        <color indexed="8"/>
        <rFont val="Arial"/>
        <family val="2"/>
      </rPr>
      <t>IPP</t>
    </r>
    <r>
      <rPr>
        <sz val="11"/>
        <color indexed="8"/>
        <rFont val="Arial"/>
        <family val="2"/>
      </rPr>
      <t>+</t>
    </r>
    <r>
      <rPr>
        <i/>
        <sz val="12"/>
        <color indexed="8"/>
        <rFont val="Arial"/>
        <family val="2"/>
      </rPr>
      <t>K</t>
    </r>
    <r>
      <rPr>
        <vertAlign val="subscript"/>
        <sz val="12"/>
        <color indexed="8"/>
        <rFont val="Arial"/>
        <family val="2"/>
      </rPr>
      <t>Max</t>
    </r>
    <r>
      <rPr>
        <sz val="11"/>
        <color indexed="8"/>
        <rFont val="Arial"/>
        <family val="2"/>
      </rPr>
      <t>-(</t>
    </r>
    <r>
      <rPr>
        <i/>
        <sz val="12"/>
        <color indexed="8"/>
        <rFont val="Arial"/>
        <family val="2"/>
      </rPr>
      <t>X</t>
    </r>
    <r>
      <rPr>
        <vertAlign val="subscript"/>
        <sz val="12"/>
        <color indexed="8"/>
        <rFont val="Arial"/>
        <family val="2"/>
      </rPr>
      <t>PP</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X</t>
    </r>
    <r>
      <rPr>
        <vertAlign val="subscript"/>
        <sz val="12"/>
        <color indexed="8"/>
        <rFont val="Arial"/>
        <family val="2"/>
      </rPr>
      <t>PAO</t>
    </r>
  </si>
  <si>
    <r>
      <t>Aerobic growth of X</t>
    </r>
    <r>
      <rPr>
        <b/>
        <vertAlign val="subscript"/>
        <sz val="11"/>
        <color indexed="8"/>
        <rFont val="Arial"/>
        <family val="2"/>
      </rPr>
      <t>PAO</t>
    </r>
  </si>
  <si>
    <r>
      <t>-(1-</t>
    </r>
    <r>
      <rPr>
        <i/>
        <sz val="12"/>
        <color indexed="8"/>
        <rFont val="Arial"/>
        <family val="2"/>
      </rPr>
      <t>Y</t>
    </r>
    <r>
      <rPr>
        <vertAlign val="subscript"/>
        <sz val="12"/>
        <color indexed="8"/>
        <rFont val="Arial"/>
        <family val="2"/>
      </rPr>
      <t>PAO</t>
    </r>
    <r>
      <rPr>
        <sz val="11"/>
        <color indexed="8"/>
        <rFont val="Arial"/>
        <family val="2"/>
      </rPr>
      <t>)/</t>
    </r>
    <r>
      <rPr>
        <i/>
        <sz val="12"/>
        <color indexed="8"/>
        <rFont val="Arial"/>
        <family val="2"/>
      </rPr>
      <t>Y</t>
    </r>
    <r>
      <rPr>
        <vertAlign val="subscript"/>
        <sz val="12"/>
        <color indexed="8"/>
        <rFont val="Arial"/>
        <family val="2"/>
      </rPr>
      <t>PAO</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</si>
  <si>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13_NH4</t>
    </r>
    <r>
      <rPr>
        <sz val="11"/>
        <color indexed="8"/>
        <rFont val="Arial"/>
        <family val="2"/>
      </rPr>
      <t>-</t>
    </r>
    <r>
      <rPr>
        <i/>
        <sz val="12"/>
        <color indexed="8"/>
        <rFont val="Arial"/>
        <family val="2"/>
      </rPr>
      <t>i</t>
    </r>
    <r>
      <rPr>
        <vertAlign val="subscript"/>
        <sz val="12"/>
        <color indexed="8"/>
        <rFont val="Arial"/>
        <family val="2"/>
      </rPr>
      <t>P,BM</t>
    </r>
    <r>
      <rPr>
        <sz val="11"/>
        <color indexed="8"/>
        <rFont val="Arial"/>
        <family val="2"/>
      </rPr>
      <t>*</t>
    </r>
    <r>
      <rPr>
        <i/>
        <sz val="12"/>
        <color indexed="8"/>
        <rFont val="Arial"/>
        <family val="2"/>
      </rPr>
      <t>i</t>
    </r>
    <r>
      <rPr>
        <vertAlign val="subscript"/>
        <sz val="12"/>
        <color indexed="8"/>
        <rFont val="Arial"/>
        <family val="2"/>
      </rPr>
      <t>Charge_PO4</t>
    </r>
  </si>
  <si>
    <r>
      <t>-1/</t>
    </r>
    <r>
      <rPr>
        <i/>
        <sz val="12"/>
        <color indexed="57"/>
        <rFont val="Arial"/>
        <family val="2"/>
      </rPr>
      <t>Y</t>
    </r>
    <r>
      <rPr>
        <vertAlign val="subscript"/>
        <sz val="12"/>
        <color indexed="57"/>
        <rFont val="Arial"/>
        <family val="2"/>
      </rPr>
      <t>PAO</t>
    </r>
  </si>
  <si>
    <r>
      <t>i</t>
    </r>
    <r>
      <rPr>
        <vertAlign val="subscript"/>
        <sz val="12"/>
        <color indexed="8"/>
        <rFont val="Arial"/>
        <family val="2"/>
      </rPr>
      <t>TSS,BM</t>
    </r>
    <r>
      <rPr>
        <sz val="11"/>
        <color indexed="8"/>
        <rFont val="Arial"/>
        <family val="2"/>
      </rPr>
      <t>-1/</t>
    </r>
    <r>
      <rPr>
        <i/>
        <sz val="12"/>
        <color indexed="8"/>
        <rFont val="Arial"/>
        <family val="2"/>
      </rPr>
      <t>Y</t>
    </r>
    <r>
      <rPr>
        <vertAlign val="subscript"/>
        <sz val="12"/>
        <color indexed="8"/>
        <rFont val="Arial"/>
        <family val="2"/>
      </rPr>
      <t>PAO</t>
    </r>
    <r>
      <rPr>
        <sz val="11"/>
        <color indexed="8"/>
        <rFont val="Arial"/>
        <family val="2"/>
      </rPr>
      <t>*</t>
    </r>
    <r>
      <rPr>
        <i/>
        <sz val="12"/>
        <color indexed="8"/>
        <rFont val="Arial"/>
        <family val="2"/>
      </rPr>
      <t>i</t>
    </r>
    <r>
      <rPr>
        <vertAlign val="subscript"/>
        <sz val="12"/>
        <color indexed="8"/>
        <rFont val="Arial"/>
        <family val="2"/>
      </rPr>
      <t>TSS,XPHA</t>
    </r>
  </si>
  <si>
    <r>
      <t>μ</t>
    </r>
    <r>
      <rPr>
        <vertAlign val="subscript"/>
        <sz val="12"/>
        <color indexed="8"/>
        <rFont val="Arial"/>
        <family val="2"/>
      </rPr>
      <t>PAO</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57"/>
        <rFont val="Arial"/>
        <family val="2"/>
      </rPr>
      <t>K</t>
    </r>
    <r>
      <rPr>
        <vertAlign val="subscript"/>
        <sz val="12"/>
        <color indexed="57"/>
        <rFont val="Arial"/>
        <family val="2"/>
      </rPr>
      <t>O2,PAO</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S</t>
    </r>
    <r>
      <rPr>
        <vertAlign val="subscript"/>
        <sz val="12"/>
        <color indexed="8"/>
        <rFont val="Arial"/>
        <family val="2"/>
      </rPr>
      <t>NH4</t>
    </r>
    <r>
      <rPr>
        <sz val="11"/>
        <color indexed="8"/>
        <rFont val="Arial"/>
        <family val="2"/>
      </rPr>
      <t>/(</t>
    </r>
    <r>
      <rPr>
        <i/>
        <sz val="12"/>
        <color indexed="57"/>
        <rFont val="Arial"/>
        <family val="2"/>
      </rPr>
      <t>K</t>
    </r>
    <r>
      <rPr>
        <vertAlign val="subscript"/>
        <sz val="12"/>
        <color indexed="57"/>
        <rFont val="Arial"/>
        <family val="2"/>
      </rPr>
      <t>NH4,PAO</t>
    </r>
    <r>
      <rPr>
        <sz val="11"/>
        <color indexed="8"/>
        <rFont val="Arial"/>
        <family val="2"/>
      </rPr>
      <t>+</t>
    </r>
    <r>
      <rPr>
        <i/>
        <sz val="12"/>
        <color indexed="8"/>
        <rFont val="Arial"/>
        <family val="2"/>
      </rPr>
      <t>S</t>
    </r>
    <r>
      <rPr>
        <vertAlign val="subscript"/>
        <sz val="12"/>
        <color indexed="8"/>
        <rFont val="Arial"/>
        <family val="2"/>
      </rPr>
      <t>NH4</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57"/>
        <rFont val="Arial"/>
        <family val="2"/>
      </rPr>
      <t>K</t>
    </r>
    <r>
      <rPr>
        <vertAlign val="subscript"/>
        <sz val="12"/>
        <color indexed="57"/>
        <rFont val="Arial"/>
        <family val="2"/>
      </rPr>
      <t>P,PAO</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57"/>
        <rFont val="Arial"/>
        <family val="2"/>
      </rPr>
      <t>K</t>
    </r>
    <r>
      <rPr>
        <vertAlign val="subscript"/>
        <sz val="12"/>
        <color indexed="57"/>
        <rFont val="Arial"/>
        <family val="2"/>
      </rPr>
      <t>ALK,PAO</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PHA</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K</t>
    </r>
    <r>
      <rPr>
        <vertAlign val="subscript"/>
        <sz val="12"/>
        <color indexed="8"/>
        <rFont val="Arial"/>
        <family val="2"/>
      </rPr>
      <t>PHA</t>
    </r>
    <r>
      <rPr>
        <sz val="11"/>
        <color indexed="8"/>
        <rFont val="Arial"/>
        <family val="2"/>
      </rPr>
      <t>+(</t>
    </r>
    <r>
      <rPr>
        <i/>
        <sz val="12"/>
        <color indexed="8"/>
        <rFont val="Arial"/>
        <family val="2"/>
      </rPr>
      <t>X</t>
    </r>
    <r>
      <rPr>
        <vertAlign val="subscript"/>
        <sz val="12"/>
        <color indexed="8"/>
        <rFont val="Arial"/>
        <family val="2"/>
      </rPr>
      <t>PHA</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X</t>
    </r>
    <r>
      <rPr>
        <vertAlign val="subscript"/>
        <sz val="12"/>
        <color indexed="8"/>
        <rFont val="Arial"/>
        <family val="2"/>
      </rPr>
      <t>PAO</t>
    </r>
  </si>
  <si>
    <r>
      <t>Anoxic growth of X</t>
    </r>
    <r>
      <rPr>
        <b/>
        <vertAlign val="subscript"/>
        <sz val="11"/>
        <color indexed="8"/>
        <rFont val="Arial"/>
        <family val="2"/>
      </rPr>
      <t>PAO</t>
    </r>
  </si>
  <si>
    <r>
      <t>-(1-</t>
    </r>
    <r>
      <rPr>
        <i/>
        <sz val="12"/>
        <color indexed="8"/>
        <rFont val="Arial"/>
        <family val="2"/>
      </rPr>
      <t>Y</t>
    </r>
    <r>
      <rPr>
        <vertAlign val="subscript"/>
        <sz val="12"/>
        <color indexed="8"/>
        <rFont val="Arial"/>
        <family val="2"/>
      </rPr>
      <t>PAO</t>
    </r>
    <r>
      <rPr>
        <sz val="11"/>
        <color indexed="8"/>
        <rFont val="Arial"/>
        <family val="2"/>
      </rPr>
      <t>)/</t>
    </r>
    <r>
      <rPr>
        <i/>
        <sz val="12"/>
        <color indexed="8"/>
        <rFont val="Arial"/>
        <family val="2"/>
      </rPr>
      <t>Y</t>
    </r>
    <r>
      <rPr>
        <vertAlign val="subscript"/>
        <sz val="12"/>
        <color indexed="8"/>
        <rFont val="Arial"/>
        <family val="2"/>
      </rPr>
      <t>PAO</t>
    </r>
    <r>
      <rPr>
        <sz val="11"/>
        <color indexed="8"/>
        <rFont val="Arial"/>
        <family val="2"/>
      </rPr>
      <t>*(1/</t>
    </r>
    <r>
      <rPr>
        <i/>
        <sz val="12"/>
        <color indexed="8"/>
        <rFont val="Arial"/>
        <family val="2"/>
      </rPr>
      <t>i</t>
    </r>
    <r>
      <rPr>
        <vertAlign val="subscript"/>
        <sz val="12"/>
        <color indexed="8"/>
        <rFont val="Arial"/>
        <family val="2"/>
      </rPr>
      <t>NOx,N2</t>
    </r>
    <r>
      <rPr>
        <sz val="11"/>
        <color indexed="8"/>
        <rFont val="Arial"/>
        <family val="2"/>
      </rPr>
      <t>)</t>
    </r>
  </si>
  <si>
    <r>
      <t>i</t>
    </r>
    <r>
      <rPr>
        <vertAlign val="subscript"/>
        <sz val="12"/>
        <color indexed="8"/>
        <rFont val="Arial"/>
        <family val="2"/>
      </rPr>
      <t>Charge_NHx</t>
    </r>
    <r>
      <rPr>
        <sz val="12"/>
        <color indexed="8"/>
        <rFont val="Arial"/>
        <family val="2"/>
      </rPr>
      <t>*</t>
    </r>
    <r>
      <rPr>
        <i/>
        <sz val="12"/>
        <color indexed="8"/>
        <rFont val="Arial"/>
        <family val="2"/>
      </rPr>
      <t>v</t>
    </r>
    <r>
      <rPr>
        <vertAlign val="subscript"/>
        <sz val="12"/>
        <color indexed="8"/>
        <rFont val="Arial"/>
        <family val="2"/>
      </rPr>
      <t>14_NH4</t>
    </r>
    <r>
      <rPr>
        <sz val="12"/>
        <color indexed="8"/>
        <rFont val="Arial"/>
        <family val="2"/>
      </rPr>
      <t>+</t>
    </r>
    <r>
      <rPr>
        <i/>
        <sz val="12"/>
        <color indexed="8"/>
        <rFont val="Arial"/>
        <family val="2"/>
      </rPr>
      <t>i</t>
    </r>
    <r>
      <rPr>
        <vertAlign val="subscript"/>
        <sz val="12"/>
        <color indexed="8"/>
        <rFont val="Arial"/>
        <family val="2"/>
      </rPr>
      <t>Charge_NOx</t>
    </r>
    <r>
      <rPr>
        <sz val="12"/>
        <color indexed="8"/>
        <rFont val="Arial"/>
        <family val="2"/>
      </rPr>
      <t>*</t>
    </r>
    <r>
      <rPr>
        <i/>
        <sz val="12"/>
        <color indexed="8"/>
        <rFont val="Arial"/>
        <family val="2"/>
      </rPr>
      <t>v</t>
    </r>
    <r>
      <rPr>
        <vertAlign val="subscript"/>
        <sz val="12"/>
        <color indexed="8"/>
        <rFont val="Arial"/>
        <family val="2"/>
      </rPr>
      <t>14_NOx</t>
    </r>
    <r>
      <rPr>
        <sz val="12"/>
        <color indexed="8"/>
        <rFont val="Arial"/>
        <family val="2"/>
      </rPr>
      <t>-</t>
    </r>
    <r>
      <rPr>
        <i/>
        <sz val="12"/>
        <color indexed="8"/>
        <rFont val="Arial"/>
        <family val="2"/>
      </rPr>
      <t>i</t>
    </r>
    <r>
      <rPr>
        <vertAlign val="subscript"/>
        <sz val="12"/>
        <color indexed="8"/>
        <rFont val="Arial"/>
        <family val="2"/>
      </rPr>
      <t>P,BM</t>
    </r>
    <r>
      <rPr>
        <sz val="12"/>
        <color indexed="8"/>
        <rFont val="Arial"/>
        <family val="2"/>
      </rPr>
      <t>*</t>
    </r>
    <r>
      <rPr>
        <i/>
        <sz val="12"/>
        <color indexed="8"/>
        <rFont val="Arial"/>
        <family val="2"/>
      </rPr>
      <t>i</t>
    </r>
    <r>
      <rPr>
        <vertAlign val="subscript"/>
        <sz val="12"/>
        <color indexed="8"/>
        <rFont val="Arial"/>
        <family val="2"/>
      </rPr>
      <t>Charge_PO4</t>
    </r>
  </si>
  <si>
    <r>
      <t>(1-</t>
    </r>
    <r>
      <rPr>
        <i/>
        <sz val="12"/>
        <color indexed="8"/>
        <rFont val="Arial"/>
        <family val="2"/>
      </rPr>
      <t>Y</t>
    </r>
    <r>
      <rPr>
        <vertAlign val="subscript"/>
        <sz val="12"/>
        <color indexed="8"/>
        <rFont val="Arial"/>
        <family val="2"/>
      </rPr>
      <t>PAO</t>
    </r>
    <r>
      <rPr>
        <sz val="11"/>
        <color indexed="8"/>
        <rFont val="Arial"/>
        <family val="2"/>
      </rPr>
      <t>)/</t>
    </r>
    <r>
      <rPr>
        <i/>
        <sz val="12"/>
        <color indexed="8"/>
        <rFont val="Arial"/>
        <family val="2"/>
      </rPr>
      <t>Y</t>
    </r>
    <r>
      <rPr>
        <vertAlign val="subscript"/>
        <sz val="12"/>
        <color indexed="8"/>
        <rFont val="Arial"/>
        <family val="2"/>
      </rPr>
      <t>PAO</t>
    </r>
    <r>
      <rPr>
        <sz val="11"/>
        <color indexed="8"/>
        <rFont val="Arial"/>
        <family val="2"/>
      </rPr>
      <t>*(1/</t>
    </r>
    <r>
      <rPr>
        <i/>
        <sz val="12"/>
        <color indexed="8"/>
        <rFont val="Arial"/>
        <family val="2"/>
      </rPr>
      <t>i</t>
    </r>
    <r>
      <rPr>
        <vertAlign val="subscript"/>
        <sz val="12"/>
        <color indexed="8"/>
        <rFont val="Arial"/>
        <family val="2"/>
      </rPr>
      <t>NOx,N2</t>
    </r>
    <r>
      <rPr>
        <sz val="11"/>
        <color indexed="8"/>
        <rFont val="Arial"/>
        <family val="2"/>
      </rPr>
      <t>)</t>
    </r>
  </si>
  <si>
    <r>
      <t>μ</t>
    </r>
    <r>
      <rPr>
        <vertAlign val="subscript"/>
        <sz val="12"/>
        <color indexed="8"/>
        <rFont val="Arial"/>
        <family val="2"/>
      </rPr>
      <t>PAO</t>
    </r>
    <r>
      <rPr>
        <sz val="11"/>
        <color indexed="8"/>
        <rFont val="Arial"/>
        <family val="2"/>
      </rPr>
      <t>*</t>
    </r>
    <r>
      <rPr>
        <i/>
        <sz val="12"/>
        <color indexed="57"/>
        <rFont val="Arial"/>
        <family val="2"/>
      </rPr>
      <t>η</t>
    </r>
    <r>
      <rPr>
        <vertAlign val="subscript"/>
        <sz val="12"/>
        <color indexed="57"/>
        <rFont val="Arial"/>
        <family val="2"/>
      </rPr>
      <t>NO3,PAO</t>
    </r>
    <r>
      <rPr>
        <sz val="11"/>
        <color indexed="8"/>
        <rFont val="Arial"/>
        <family val="2"/>
      </rPr>
      <t>*[</t>
    </r>
    <r>
      <rPr>
        <i/>
        <sz val="12"/>
        <color indexed="57"/>
        <rFont val="Arial"/>
        <family val="2"/>
      </rPr>
      <t>K</t>
    </r>
    <r>
      <rPr>
        <vertAlign val="subscript"/>
        <sz val="12"/>
        <color indexed="57"/>
        <rFont val="Arial"/>
        <family val="2"/>
      </rPr>
      <t>O2,PAO</t>
    </r>
    <r>
      <rPr>
        <sz val="11"/>
        <color indexed="8"/>
        <rFont val="Arial"/>
        <family val="2"/>
      </rPr>
      <t>/(</t>
    </r>
    <r>
      <rPr>
        <i/>
        <sz val="12"/>
        <color indexed="57"/>
        <rFont val="Arial"/>
        <family val="2"/>
      </rPr>
      <t>K</t>
    </r>
    <r>
      <rPr>
        <vertAlign val="subscript"/>
        <sz val="12"/>
        <color indexed="57"/>
        <rFont val="Arial"/>
        <family val="2"/>
      </rPr>
      <t>O2,PAO</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S</t>
    </r>
    <r>
      <rPr>
        <vertAlign val="subscript"/>
        <sz val="12"/>
        <color indexed="8"/>
        <rFont val="Arial"/>
        <family val="2"/>
      </rPr>
      <t>NO3</t>
    </r>
    <r>
      <rPr>
        <sz val="11"/>
        <color indexed="8"/>
        <rFont val="Arial"/>
        <family val="2"/>
      </rPr>
      <t>/(</t>
    </r>
    <r>
      <rPr>
        <i/>
        <sz val="12"/>
        <color indexed="57"/>
        <rFont val="Arial"/>
        <family val="2"/>
      </rPr>
      <t>K</t>
    </r>
    <r>
      <rPr>
        <vertAlign val="subscript"/>
        <sz val="12"/>
        <color indexed="57"/>
        <rFont val="Arial"/>
        <family val="2"/>
      </rPr>
      <t>NO3,PAO</t>
    </r>
    <r>
      <rPr>
        <sz val="11"/>
        <color indexed="8"/>
        <rFont val="Arial"/>
        <family val="2"/>
      </rPr>
      <t>+</t>
    </r>
    <r>
      <rPr>
        <i/>
        <sz val="12"/>
        <color indexed="8"/>
        <rFont val="Arial"/>
        <family val="2"/>
      </rPr>
      <t>S</t>
    </r>
    <r>
      <rPr>
        <vertAlign val="subscript"/>
        <sz val="12"/>
        <color indexed="8"/>
        <rFont val="Arial"/>
        <family val="2"/>
      </rPr>
      <t>NO3</t>
    </r>
    <r>
      <rPr>
        <sz val="11"/>
        <color indexed="8"/>
        <rFont val="Arial"/>
        <family val="2"/>
      </rPr>
      <t>)]*[</t>
    </r>
    <r>
      <rPr>
        <i/>
        <sz val="12"/>
        <color indexed="8"/>
        <rFont val="Arial"/>
        <family val="2"/>
      </rPr>
      <t>S</t>
    </r>
    <r>
      <rPr>
        <vertAlign val="subscript"/>
        <sz val="12"/>
        <color indexed="8"/>
        <rFont val="Arial"/>
        <family val="2"/>
      </rPr>
      <t>NH4</t>
    </r>
    <r>
      <rPr>
        <sz val="11"/>
        <color indexed="8"/>
        <rFont val="Arial"/>
        <family val="2"/>
      </rPr>
      <t>/(</t>
    </r>
    <r>
      <rPr>
        <i/>
        <sz val="12"/>
        <color indexed="8"/>
        <rFont val="Arial"/>
        <family val="2"/>
      </rPr>
      <t>K</t>
    </r>
    <r>
      <rPr>
        <vertAlign val="subscript"/>
        <sz val="12"/>
        <color indexed="8"/>
        <rFont val="Arial"/>
        <family val="2"/>
      </rPr>
      <t>NH4,PAO</t>
    </r>
    <r>
      <rPr>
        <sz val="11"/>
        <color indexed="8"/>
        <rFont val="Arial"/>
        <family val="2"/>
      </rPr>
      <t>+</t>
    </r>
    <r>
      <rPr>
        <i/>
        <sz val="12"/>
        <color indexed="8"/>
        <rFont val="Arial"/>
        <family val="2"/>
      </rPr>
      <t>S</t>
    </r>
    <r>
      <rPr>
        <vertAlign val="subscript"/>
        <sz val="12"/>
        <color indexed="8"/>
        <rFont val="Arial"/>
        <family val="2"/>
      </rPr>
      <t>NH4</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57"/>
        <rFont val="Arial"/>
        <family val="2"/>
      </rPr>
      <t>K</t>
    </r>
    <r>
      <rPr>
        <vertAlign val="subscript"/>
        <sz val="12"/>
        <color indexed="57"/>
        <rFont val="Arial"/>
        <family val="2"/>
      </rPr>
      <t>P,PAO</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57"/>
        <rFont val="Arial"/>
        <family val="2"/>
      </rPr>
      <t>K</t>
    </r>
    <r>
      <rPr>
        <vertAlign val="subscript"/>
        <sz val="12"/>
        <color indexed="57"/>
        <rFont val="Arial"/>
        <family val="2"/>
      </rPr>
      <t>ALK,PAO</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PHA</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K</t>
    </r>
    <r>
      <rPr>
        <vertAlign val="subscript"/>
        <sz val="12"/>
        <color indexed="8"/>
        <rFont val="Arial"/>
        <family val="2"/>
      </rPr>
      <t>PHA</t>
    </r>
    <r>
      <rPr>
        <sz val="11"/>
        <color indexed="8"/>
        <rFont val="Arial"/>
        <family val="2"/>
      </rPr>
      <t>+(</t>
    </r>
    <r>
      <rPr>
        <i/>
        <sz val="12"/>
        <color indexed="8"/>
        <rFont val="Arial"/>
        <family val="2"/>
      </rPr>
      <t>X</t>
    </r>
    <r>
      <rPr>
        <vertAlign val="subscript"/>
        <sz val="12"/>
        <color indexed="8"/>
        <rFont val="Arial"/>
        <family val="2"/>
      </rPr>
      <t>PHA</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X</t>
    </r>
    <r>
      <rPr>
        <vertAlign val="subscript"/>
        <sz val="12"/>
        <color indexed="8"/>
        <rFont val="Arial"/>
        <family val="2"/>
      </rPr>
      <t>PAO</t>
    </r>
  </si>
  <si>
    <r>
      <t>Lysis of X</t>
    </r>
    <r>
      <rPr>
        <b/>
        <vertAlign val="subscript"/>
        <sz val="11"/>
        <color indexed="8"/>
        <rFont val="Arial"/>
        <family val="2"/>
      </rPr>
      <t>PAO</t>
    </r>
  </si>
  <si>
    <r>
      <t>-(</t>
    </r>
    <r>
      <rPr>
        <i/>
        <sz val="12"/>
        <color indexed="8"/>
        <rFont val="Arial"/>
        <family val="2"/>
      </rPr>
      <t>f</t>
    </r>
    <r>
      <rPr>
        <vertAlign val="subscript"/>
        <sz val="12"/>
        <color indexed="8"/>
        <rFont val="Arial"/>
        <family val="2"/>
      </rPr>
      <t>XI</t>
    </r>
    <r>
      <rPr>
        <sz val="11"/>
        <color indexed="8"/>
        <rFont val="Arial"/>
        <family val="2"/>
      </rPr>
      <t>*</t>
    </r>
    <r>
      <rPr>
        <i/>
        <sz val="12"/>
        <color indexed="8"/>
        <rFont val="Arial"/>
        <family val="2"/>
      </rPr>
      <t>i</t>
    </r>
    <r>
      <rPr>
        <vertAlign val="subscript"/>
        <sz val="12"/>
        <color indexed="8"/>
        <rFont val="Arial"/>
        <family val="2"/>
      </rPr>
      <t>P,XI</t>
    </r>
    <r>
      <rPr>
        <sz val="11"/>
        <color indexed="8"/>
        <rFont val="Arial"/>
        <family val="2"/>
      </rPr>
      <t>+(1-</t>
    </r>
    <r>
      <rPr>
        <i/>
        <sz val="12"/>
        <color indexed="8"/>
        <rFont val="Arial"/>
        <family val="2"/>
      </rPr>
      <t>f</t>
    </r>
    <r>
      <rPr>
        <vertAlign val="subscript"/>
        <sz val="12"/>
        <color indexed="8"/>
        <rFont val="Arial"/>
        <family val="2"/>
      </rPr>
      <t>XI</t>
    </r>
    <r>
      <rPr>
        <sz val="11"/>
        <color indexed="8"/>
        <rFont val="Arial"/>
        <family val="2"/>
      </rPr>
      <t>)*</t>
    </r>
    <r>
      <rPr>
        <i/>
        <sz val="12"/>
        <color indexed="8"/>
        <rFont val="Arial"/>
        <family val="2"/>
      </rPr>
      <t>i</t>
    </r>
    <r>
      <rPr>
        <vertAlign val="subscript"/>
        <sz val="12"/>
        <color indexed="8"/>
        <rFont val="Arial"/>
        <family val="2"/>
      </rPr>
      <t>P,XS</t>
    </r>
    <r>
      <rPr>
        <sz val="11"/>
        <color indexed="8"/>
        <rFont val="Arial"/>
        <family val="2"/>
      </rPr>
      <t>-</t>
    </r>
    <r>
      <rPr>
        <i/>
        <sz val="12"/>
        <color indexed="8"/>
        <rFont val="Arial"/>
        <family val="2"/>
      </rPr>
      <t>i</t>
    </r>
    <r>
      <rPr>
        <vertAlign val="subscript"/>
        <sz val="12"/>
        <color indexed="8"/>
        <rFont val="Arial"/>
        <family val="2"/>
      </rPr>
      <t>P,BM</t>
    </r>
    <r>
      <rPr>
        <sz val="11"/>
        <color indexed="8"/>
        <rFont val="Arial"/>
        <family val="2"/>
      </rPr>
      <t>)</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</si>
  <si>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15_NH4</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v</t>
    </r>
    <r>
      <rPr>
        <vertAlign val="subscript"/>
        <sz val="12"/>
        <color indexed="8"/>
        <rFont val="Arial"/>
        <family val="2"/>
      </rPr>
      <t>15_PO4</t>
    </r>
  </si>
  <si>
    <r>
      <t>b</t>
    </r>
    <r>
      <rPr>
        <vertAlign val="subscript"/>
        <sz val="12"/>
        <color indexed="8"/>
        <rFont val="Arial"/>
        <family val="2"/>
      </rPr>
      <t>PAO</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57"/>
        <rFont val="Arial"/>
        <family val="2"/>
      </rPr>
      <t>K</t>
    </r>
    <r>
      <rPr>
        <vertAlign val="subscript"/>
        <sz val="12"/>
        <color indexed="57"/>
        <rFont val="Arial"/>
        <family val="2"/>
      </rPr>
      <t>ALK,PAO</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</si>
  <si>
    <r>
      <t>Lysis of X</t>
    </r>
    <r>
      <rPr>
        <b/>
        <vertAlign val="subscript"/>
        <sz val="11"/>
        <color indexed="8"/>
        <rFont val="Arial"/>
        <family val="2"/>
      </rPr>
      <t>PP</t>
    </r>
  </si>
  <si>
    <r>
      <t>i</t>
    </r>
    <r>
      <rPr>
        <vertAlign val="subscript"/>
        <sz val="12"/>
        <color indexed="8"/>
        <rFont val="Arial"/>
        <family val="2"/>
      </rPr>
      <t>Charge_PO4</t>
    </r>
    <r>
      <rPr>
        <sz val="12"/>
        <color indexed="8"/>
        <rFont val="Arial"/>
        <family val="2"/>
      </rPr>
      <t>-</t>
    </r>
    <r>
      <rPr>
        <i/>
        <sz val="12"/>
        <color indexed="8"/>
        <rFont val="Arial"/>
        <family val="2"/>
      </rPr>
      <t>i</t>
    </r>
    <r>
      <rPr>
        <vertAlign val="subscript"/>
        <sz val="12"/>
        <color indexed="8"/>
        <rFont val="Arial"/>
        <family val="2"/>
      </rPr>
      <t>Charge_XPAO,PP</t>
    </r>
  </si>
  <si>
    <r>
      <t>-</t>
    </r>
    <r>
      <rPr>
        <i/>
        <sz val="12"/>
        <color indexed="8"/>
        <rFont val="Arial"/>
        <family val="2"/>
      </rPr>
      <t>i</t>
    </r>
    <r>
      <rPr>
        <vertAlign val="subscript"/>
        <sz val="12"/>
        <color indexed="8"/>
        <rFont val="Arial"/>
        <family val="2"/>
      </rPr>
      <t>TSS,XPP</t>
    </r>
  </si>
  <si>
    <r>
      <t>b</t>
    </r>
    <r>
      <rPr>
        <vertAlign val="subscript"/>
        <sz val="12"/>
        <color indexed="8"/>
        <rFont val="Arial"/>
        <family val="2"/>
      </rPr>
      <t>PP</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57"/>
        <rFont val="Arial"/>
        <family val="2"/>
      </rPr>
      <t>K</t>
    </r>
    <r>
      <rPr>
        <vertAlign val="subscript"/>
        <sz val="12"/>
        <color indexed="57"/>
        <rFont val="Arial"/>
        <family val="2"/>
      </rPr>
      <t>ALK,PAO</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PP</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X</t>
    </r>
    <r>
      <rPr>
        <vertAlign val="subscript"/>
        <sz val="12"/>
        <color indexed="8"/>
        <rFont val="Arial"/>
        <family val="2"/>
      </rPr>
      <t>PAO</t>
    </r>
  </si>
  <si>
    <r>
      <t>Lysis of X</t>
    </r>
    <r>
      <rPr>
        <b/>
        <vertAlign val="subscript"/>
        <sz val="11"/>
        <color indexed="8"/>
        <rFont val="Arial"/>
        <family val="2"/>
      </rPr>
      <t>PHA</t>
    </r>
  </si>
  <si>
    <r>
      <t>-</t>
    </r>
    <r>
      <rPr>
        <i/>
        <sz val="12"/>
        <color indexed="8"/>
        <rFont val="Arial"/>
        <family val="2"/>
      </rPr>
      <t>i</t>
    </r>
    <r>
      <rPr>
        <vertAlign val="subscript"/>
        <sz val="12"/>
        <color indexed="8"/>
        <rFont val="Arial"/>
        <family val="2"/>
      </rPr>
      <t>TSS,XPHA</t>
    </r>
  </si>
  <si>
    <r>
      <t>b</t>
    </r>
    <r>
      <rPr>
        <vertAlign val="subscript"/>
        <sz val="12"/>
        <color indexed="8"/>
        <rFont val="Arial"/>
        <family val="2"/>
      </rPr>
      <t>PHA</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57"/>
        <rFont val="Arial"/>
        <family val="2"/>
      </rPr>
      <t>K</t>
    </r>
    <r>
      <rPr>
        <vertAlign val="subscript"/>
        <sz val="12"/>
        <color indexed="57"/>
        <rFont val="Arial"/>
        <family val="2"/>
      </rPr>
      <t>ALK,PAO</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PHA</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X</t>
    </r>
    <r>
      <rPr>
        <vertAlign val="subscript"/>
        <sz val="12"/>
        <color indexed="8"/>
        <rFont val="Arial"/>
        <family val="2"/>
      </rPr>
      <t>PAO</t>
    </r>
  </si>
  <si>
    <r>
      <t>Alkalinity (HCO</t>
    </r>
    <r>
      <rPr>
        <vertAlign val="subscript"/>
        <sz val="10"/>
        <rFont val="Arial"/>
        <family val="2"/>
      </rPr>
      <t>3</t>
    </r>
    <r>
      <rPr>
        <vertAlign val="superscript"/>
        <sz val="10"/>
        <rFont val="Arial"/>
        <family val="2"/>
      </rPr>
      <t>-</t>
    </r>
    <r>
      <rPr>
        <sz val="10"/>
        <rFont val="Arial"/>
        <family val="2"/>
      </rPr>
      <t>)</t>
    </r>
  </si>
  <si>
    <r>
      <t>Aerobic growth of X</t>
    </r>
    <r>
      <rPr>
        <b/>
        <vertAlign val="subscript"/>
        <sz val="11"/>
        <color indexed="8"/>
        <rFont val="Arial"/>
        <family val="2"/>
      </rPr>
      <t>AUT</t>
    </r>
  </si>
  <si>
    <r>
      <t>-(-</t>
    </r>
    <r>
      <rPr>
        <i/>
        <sz val="12"/>
        <color indexed="8"/>
        <rFont val="Arial"/>
        <family val="2"/>
      </rPr>
      <t>i</t>
    </r>
    <r>
      <rPr>
        <vertAlign val="subscript"/>
        <sz val="12"/>
        <color indexed="8"/>
        <rFont val="Arial"/>
        <family val="2"/>
      </rPr>
      <t>COD_NOx</t>
    </r>
    <r>
      <rPr>
        <sz val="11"/>
        <color indexed="8"/>
        <rFont val="Arial"/>
        <family val="2"/>
      </rPr>
      <t>-</t>
    </r>
    <r>
      <rPr>
        <i/>
        <sz val="12"/>
        <color indexed="8"/>
        <rFont val="Arial"/>
        <family val="2"/>
      </rPr>
      <t>Y</t>
    </r>
    <r>
      <rPr>
        <vertAlign val="subscript"/>
        <sz val="12"/>
        <color indexed="8"/>
        <rFont val="Arial"/>
        <family val="2"/>
      </rPr>
      <t>A</t>
    </r>
    <r>
      <rPr>
        <sz val="11"/>
        <color indexed="8"/>
        <rFont val="Arial"/>
        <family val="2"/>
      </rPr>
      <t>)/</t>
    </r>
    <r>
      <rPr>
        <i/>
        <sz val="12"/>
        <color indexed="8"/>
        <rFont val="Arial"/>
        <family val="2"/>
      </rPr>
      <t>Y</t>
    </r>
    <r>
      <rPr>
        <vertAlign val="subscript"/>
        <sz val="12"/>
        <color indexed="8"/>
        <rFont val="Arial"/>
        <family val="2"/>
      </rPr>
      <t>A</t>
    </r>
  </si>
  <si>
    <r>
      <t>-</t>
    </r>
    <r>
      <rPr>
        <i/>
        <sz val="12"/>
        <color indexed="8"/>
        <rFont val="Arial"/>
        <family val="2"/>
      </rPr>
      <t>i</t>
    </r>
    <r>
      <rPr>
        <vertAlign val="subscript"/>
        <sz val="12"/>
        <color indexed="8"/>
        <rFont val="Arial"/>
        <family val="2"/>
      </rPr>
      <t>N,BM</t>
    </r>
    <r>
      <rPr>
        <sz val="11"/>
        <color indexed="8"/>
        <rFont val="Arial"/>
        <family val="2"/>
      </rPr>
      <t>-1/</t>
    </r>
    <r>
      <rPr>
        <i/>
        <sz val="12"/>
        <color indexed="8"/>
        <rFont val="Arial"/>
        <family val="2"/>
      </rPr>
      <t>Y</t>
    </r>
    <r>
      <rPr>
        <vertAlign val="subscript"/>
        <sz val="12"/>
        <color indexed="8"/>
        <rFont val="Arial"/>
        <family val="2"/>
      </rPr>
      <t>A</t>
    </r>
  </si>
  <si>
    <r>
      <t>1/</t>
    </r>
    <r>
      <rPr>
        <i/>
        <sz val="12"/>
        <color indexed="8"/>
        <rFont val="Arial"/>
        <family val="2"/>
      </rPr>
      <t>Y</t>
    </r>
    <r>
      <rPr>
        <vertAlign val="subscript"/>
        <sz val="12"/>
        <color indexed="8"/>
        <rFont val="Arial"/>
        <family val="2"/>
      </rPr>
      <t>A</t>
    </r>
  </si>
  <si>
    <r>
      <t>(-</t>
    </r>
    <r>
      <rPr>
        <i/>
        <sz val="12"/>
        <color indexed="8"/>
        <rFont val="Arial"/>
        <family val="2"/>
      </rPr>
      <t>i</t>
    </r>
    <r>
      <rPr>
        <vertAlign val="subscript"/>
        <sz val="12"/>
        <color indexed="8"/>
        <rFont val="Arial"/>
        <family val="2"/>
      </rPr>
      <t>N,BM</t>
    </r>
    <r>
      <rPr>
        <sz val="11"/>
        <color indexed="8"/>
        <rFont val="Arial"/>
        <family val="2"/>
      </rPr>
      <t>-1/</t>
    </r>
    <r>
      <rPr>
        <i/>
        <sz val="12"/>
        <color indexed="8"/>
        <rFont val="Arial"/>
        <family val="2"/>
      </rPr>
      <t>Y</t>
    </r>
    <r>
      <rPr>
        <vertAlign val="subscript"/>
        <sz val="12"/>
        <color indexed="8"/>
        <rFont val="Arial"/>
        <family val="2"/>
      </rPr>
      <t>A</t>
    </r>
    <r>
      <rPr>
        <sz val="11"/>
        <color indexed="8"/>
        <rFont val="Arial"/>
        <family val="2"/>
      </rPr>
      <t>)*</t>
    </r>
    <r>
      <rPr>
        <i/>
        <sz val="12"/>
        <color indexed="8"/>
        <rFont val="Arial"/>
        <family val="2"/>
      </rPr>
      <t>i</t>
    </r>
    <r>
      <rPr>
        <vertAlign val="subscript"/>
        <sz val="12"/>
        <color indexed="8"/>
        <rFont val="Arial"/>
        <family val="2"/>
      </rPr>
      <t>Charge_NHx</t>
    </r>
    <r>
      <rPr>
        <sz val="11"/>
        <color indexed="8"/>
        <rFont val="Arial"/>
        <family val="2"/>
      </rPr>
      <t>+1/</t>
    </r>
    <r>
      <rPr>
        <i/>
        <sz val="12"/>
        <color indexed="8"/>
        <rFont val="Arial"/>
        <family val="2"/>
      </rPr>
      <t>Y</t>
    </r>
    <r>
      <rPr>
        <vertAlign val="subscript"/>
        <sz val="12"/>
        <color indexed="8"/>
        <rFont val="Arial"/>
        <family val="2"/>
      </rPr>
      <t>A</t>
    </r>
    <r>
      <rPr>
        <sz val="11"/>
        <color indexed="8"/>
        <rFont val="Arial"/>
        <family val="2"/>
      </rPr>
      <t>*</t>
    </r>
    <r>
      <rPr>
        <i/>
        <sz val="12"/>
        <color indexed="8"/>
        <rFont val="Arial"/>
        <family val="2"/>
      </rPr>
      <t>i</t>
    </r>
    <r>
      <rPr>
        <vertAlign val="subscript"/>
        <sz val="12"/>
        <color indexed="8"/>
        <rFont val="Arial"/>
        <family val="2"/>
      </rPr>
      <t>Charge_NOx</t>
    </r>
    <r>
      <rPr>
        <sz val="11"/>
        <color indexed="8"/>
        <rFont val="Arial"/>
        <family val="2"/>
      </rPr>
      <t>-</t>
    </r>
    <r>
      <rPr>
        <i/>
        <sz val="12"/>
        <color indexed="8"/>
        <rFont val="Arial"/>
        <family val="2"/>
      </rPr>
      <t>i</t>
    </r>
    <r>
      <rPr>
        <vertAlign val="subscript"/>
        <sz val="12"/>
        <color indexed="8"/>
        <rFont val="Arial"/>
        <family val="2"/>
      </rPr>
      <t>P,BM</t>
    </r>
    <r>
      <rPr>
        <sz val="11"/>
        <color indexed="8"/>
        <rFont val="Arial"/>
        <family val="2"/>
      </rPr>
      <t>*</t>
    </r>
    <r>
      <rPr>
        <i/>
        <sz val="12"/>
        <color indexed="8"/>
        <rFont val="Arial"/>
        <family val="2"/>
      </rPr>
      <t>i</t>
    </r>
    <r>
      <rPr>
        <vertAlign val="subscript"/>
        <sz val="12"/>
        <color indexed="8"/>
        <rFont val="Arial"/>
        <family val="2"/>
      </rPr>
      <t>Charge_PO4</t>
    </r>
  </si>
  <si>
    <r>
      <t>μ</t>
    </r>
    <r>
      <rPr>
        <vertAlign val="subscript"/>
        <sz val="12"/>
        <color indexed="8"/>
        <rFont val="Arial"/>
        <family val="2"/>
      </rPr>
      <t>AUT</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57"/>
        <rFont val="Arial"/>
        <family val="2"/>
      </rPr>
      <t>K</t>
    </r>
    <r>
      <rPr>
        <vertAlign val="subscript"/>
        <sz val="12"/>
        <color indexed="57"/>
        <rFont val="Arial"/>
        <family val="2"/>
      </rPr>
      <t>O2,AUT</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S</t>
    </r>
    <r>
      <rPr>
        <vertAlign val="subscript"/>
        <sz val="12"/>
        <color indexed="8"/>
        <rFont val="Arial"/>
        <family val="2"/>
      </rPr>
      <t>NH4</t>
    </r>
    <r>
      <rPr>
        <sz val="11"/>
        <color indexed="8"/>
        <rFont val="Arial"/>
        <family val="2"/>
      </rPr>
      <t>/(</t>
    </r>
    <r>
      <rPr>
        <i/>
        <sz val="12"/>
        <color indexed="57"/>
        <rFont val="Arial"/>
        <family val="2"/>
      </rPr>
      <t>K</t>
    </r>
    <r>
      <rPr>
        <vertAlign val="subscript"/>
        <sz val="12"/>
        <color indexed="57"/>
        <rFont val="Arial"/>
        <family val="2"/>
      </rPr>
      <t>NH4,AUT</t>
    </r>
    <r>
      <rPr>
        <sz val="11"/>
        <color indexed="8"/>
        <rFont val="Arial"/>
        <family val="2"/>
      </rPr>
      <t>+</t>
    </r>
    <r>
      <rPr>
        <i/>
        <sz val="12"/>
        <color indexed="8"/>
        <rFont val="Arial"/>
        <family val="2"/>
      </rPr>
      <t>S</t>
    </r>
    <r>
      <rPr>
        <vertAlign val="subscript"/>
        <sz val="12"/>
        <color indexed="8"/>
        <rFont val="Arial"/>
        <family val="2"/>
      </rPr>
      <t>NH4</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57"/>
        <rFont val="Arial"/>
        <family val="2"/>
      </rPr>
      <t>K</t>
    </r>
    <r>
      <rPr>
        <vertAlign val="subscript"/>
        <sz val="12"/>
        <color indexed="57"/>
        <rFont val="Arial"/>
        <family val="2"/>
      </rPr>
      <t>P,AUT</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57"/>
        <rFont val="Arial"/>
        <family val="2"/>
      </rPr>
      <t>K</t>
    </r>
    <r>
      <rPr>
        <vertAlign val="subscript"/>
        <sz val="12"/>
        <color indexed="57"/>
        <rFont val="Arial"/>
        <family val="2"/>
      </rPr>
      <t>ALK,AUT</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AUT</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</si>
  <si>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19_NH4</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v</t>
    </r>
    <r>
      <rPr>
        <vertAlign val="subscript"/>
        <sz val="12"/>
        <color indexed="8"/>
        <rFont val="Arial"/>
        <family val="2"/>
      </rPr>
      <t>19_PO4</t>
    </r>
  </si>
  <si>
    <r>
      <t>b</t>
    </r>
    <r>
      <rPr>
        <vertAlign val="subscript"/>
        <sz val="12"/>
        <color indexed="8"/>
        <rFont val="Arial"/>
        <family val="2"/>
      </rPr>
      <t>AUT</t>
    </r>
    <r>
      <rPr>
        <sz val="11"/>
        <color indexed="8"/>
        <rFont val="Arial"/>
        <family val="2"/>
      </rPr>
      <t>*</t>
    </r>
    <r>
      <rPr>
        <i/>
        <sz val="12"/>
        <color indexed="8"/>
        <rFont val="Arial"/>
        <family val="2"/>
      </rPr>
      <t>X</t>
    </r>
    <r>
      <rPr>
        <vertAlign val="subscript"/>
        <sz val="12"/>
        <color indexed="8"/>
        <rFont val="Arial"/>
        <family val="2"/>
      </rPr>
      <t>AUT</t>
    </r>
  </si>
  <si>
    <r>
      <t>g S</t>
    </r>
    <r>
      <rPr>
        <vertAlign val="subscript"/>
        <sz val="8"/>
        <rFont val="Arial"/>
        <family val="2"/>
      </rPr>
      <t>U</t>
    </r>
    <r>
      <rPr>
        <sz val="8"/>
        <rFont val="Arial"/>
        <family val="2"/>
      </rPr>
      <t>.g XC</t>
    </r>
    <r>
      <rPr>
        <vertAlign val="subscript"/>
        <sz val="8"/>
        <rFont val="Arial"/>
        <family val="2"/>
      </rPr>
      <t>B</t>
    </r>
    <r>
      <rPr>
        <vertAlign val="superscript"/>
        <sz val="10"/>
        <rFont val="Arial"/>
        <family val="2"/>
      </rPr>
      <t>-1</t>
    </r>
  </si>
  <si>
    <r>
      <t>-</t>
    </r>
    <r>
      <rPr>
        <i/>
        <sz val="12"/>
        <color indexed="8"/>
        <rFont val="Arial"/>
        <family val="2"/>
      </rPr>
      <t>i</t>
    </r>
    <r>
      <rPr>
        <vertAlign val="subscript"/>
        <sz val="12"/>
        <color indexed="8"/>
        <rFont val="Arial"/>
        <family val="2"/>
      </rPr>
      <t>Charge_PO4</t>
    </r>
  </si>
  <si>
    <r>
      <t>f</t>
    </r>
    <r>
      <rPr>
        <vertAlign val="subscript"/>
        <sz val="12"/>
        <color indexed="8"/>
        <rFont val="Arial"/>
        <family val="2"/>
      </rPr>
      <t>_MeOH_PO4.MW</t>
    </r>
    <r>
      <rPr>
        <sz val="10"/>
        <color indexed="8"/>
        <rFont val="Arial"/>
        <family val="2"/>
      </rPr>
      <t>+</t>
    </r>
    <r>
      <rPr>
        <i/>
        <sz val="12"/>
        <color indexed="8"/>
        <rFont val="Arial"/>
        <family val="2"/>
      </rPr>
      <t>f</t>
    </r>
    <r>
      <rPr>
        <vertAlign val="subscript"/>
        <sz val="12"/>
        <color indexed="8"/>
        <rFont val="Arial"/>
        <family val="2"/>
      </rPr>
      <t>_MeP_PO4.MW</t>
    </r>
  </si>
  <si>
    <r>
      <t>k</t>
    </r>
    <r>
      <rPr>
        <vertAlign val="subscript"/>
        <sz val="12"/>
        <color indexed="8"/>
        <rFont val="Arial"/>
        <family val="2"/>
      </rPr>
      <t>PRE</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X</t>
    </r>
    <r>
      <rPr>
        <vertAlign val="subscript"/>
        <sz val="12"/>
        <color indexed="8"/>
        <rFont val="Arial"/>
        <family val="2"/>
      </rPr>
      <t>MeOH</t>
    </r>
  </si>
  <si>
    <r>
      <t>Yield for X</t>
    </r>
    <r>
      <rPr>
        <vertAlign val="subscript"/>
        <sz val="10"/>
        <rFont val="Arial"/>
        <family val="2"/>
      </rPr>
      <t>OHO</t>
    </r>
    <r>
      <rPr>
        <sz val="10"/>
        <rFont val="Arial"/>
        <family val="2"/>
      </rPr>
      <t xml:space="preserve"> growth</t>
    </r>
  </si>
  <si>
    <r>
      <t>-(</t>
    </r>
    <r>
      <rPr>
        <i/>
        <sz val="12"/>
        <color indexed="8"/>
        <rFont val="Arial"/>
        <family val="2"/>
      </rPr>
      <t>f</t>
    </r>
    <r>
      <rPr>
        <vertAlign val="subscript"/>
        <sz val="12"/>
        <color indexed="8"/>
        <rFont val="Arial"/>
        <family val="2"/>
      </rPr>
      <t>_MeOH_PO4.MW</t>
    </r>
    <r>
      <rPr>
        <sz val="10"/>
        <color indexed="8"/>
        <rFont val="Arial"/>
        <family val="2"/>
      </rPr>
      <t>+</t>
    </r>
    <r>
      <rPr>
        <i/>
        <sz val="12"/>
        <color indexed="8"/>
        <rFont val="Arial"/>
        <family val="2"/>
      </rPr>
      <t>f</t>
    </r>
    <r>
      <rPr>
        <vertAlign val="subscript"/>
        <sz val="12"/>
        <color indexed="8"/>
        <rFont val="Arial"/>
        <family val="2"/>
      </rPr>
      <t>_MeP_PO4.MW</t>
    </r>
    <r>
      <rPr>
        <sz val="10"/>
        <color indexed="8"/>
        <rFont val="Arial"/>
        <family val="2"/>
      </rPr>
      <t>)</t>
    </r>
  </si>
  <si>
    <r>
      <t>-</t>
    </r>
    <r>
      <rPr>
        <i/>
        <sz val="12"/>
        <color indexed="8"/>
        <rFont val="Arial"/>
        <family val="2"/>
      </rPr>
      <t>f</t>
    </r>
    <r>
      <rPr>
        <vertAlign val="subscript"/>
        <sz val="12"/>
        <color indexed="8"/>
        <rFont val="Arial"/>
        <family val="2"/>
      </rPr>
      <t>_MeOH_PO4.MW</t>
    </r>
  </si>
  <si>
    <r>
      <t>-</t>
    </r>
    <r>
      <rPr>
        <i/>
        <sz val="12"/>
        <color indexed="8"/>
        <rFont val="Arial"/>
        <family val="2"/>
      </rPr>
      <t>f</t>
    </r>
    <r>
      <rPr>
        <vertAlign val="subscript"/>
        <sz val="12"/>
        <color indexed="8"/>
        <rFont val="Arial"/>
        <family val="2"/>
      </rPr>
      <t>_MeP_PO4.MW</t>
    </r>
  </si>
  <si>
    <r>
      <t>k</t>
    </r>
    <r>
      <rPr>
        <vertAlign val="subscript"/>
        <sz val="12"/>
        <color indexed="8"/>
        <rFont val="Arial"/>
        <family val="2"/>
      </rPr>
      <t>RED</t>
    </r>
    <r>
      <rPr>
        <sz val="11"/>
        <color indexed="8"/>
        <rFont val="Arial"/>
        <family val="2"/>
      </rPr>
      <t>*</t>
    </r>
    <r>
      <rPr>
        <i/>
        <sz val="12"/>
        <color indexed="8"/>
        <rFont val="Arial"/>
        <family val="2"/>
      </rPr>
      <t>X</t>
    </r>
    <r>
      <rPr>
        <vertAlign val="subscript"/>
        <sz val="12"/>
        <color indexed="8"/>
        <rFont val="Arial"/>
        <family val="2"/>
      </rPr>
      <t>MeP</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57"/>
        <rFont val="Arial"/>
        <family val="2"/>
      </rPr>
      <t>K</t>
    </r>
    <r>
      <rPr>
        <vertAlign val="subscript"/>
        <sz val="12"/>
        <color indexed="57"/>
        <rFont val="Arial"/>
        <family val="2"/>
      </rPr>
      <t>ALK,PRE</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</si>
  <si>
    <r>
      <t>Fraction of X</t>
    </r>
    <r>
      <rPr>
        <vertAlign val="subscript"/>
        <sz val="10"/>
        <rFont val="Arial"/>
        <family val="2"/>
      </rPr>
      <t>U</t>
    </r>
    <r>
      <rPr>
        <sz val="10"/>
        <rFont val="Arial"/>
        <family val="2"/>
      </rPr>
      <t xml:space="preserve"> generated in  biomass decay</t>
    </r>
  </si>
  <si>
    <r>
      <t>g X</t>
    </r>
    <r>
      <rPr>
        <vertAlign val="subscript"/>
        <sz val="8"/>
        <rFont val="Arial"/>
        <family val="2"/>
      </rPr>
      <t>U</t>
    </r>
    <r>
      <rPr>
        <sz val="8"/>
        <rFont val="Arial"/>
        <family val="2"/>
      </rPr>
      <t>.g X</t>
    </r>
    <r>
      <rPr>
        <vertAlign val="subscript"/>
        <sz val="8"/>
        <rFont val="Arial"/>
        <family val="2"/>
      </rPr>
      <t>OHO</t>
    </r>
    <r>
      <rPr>
        <vertAlign val="superscript"/>
        <sz val="10"/>
        <rFont val="Arial"/>
        <family val="2"/>
      </rPr>
      <t>-1</t>
    </r>
  </si>
  <si>
    <r>
      <t>Yield for X</t>
    </r>
    <r>
      <rPr>
        <vertAlign val="subscript"/>
        <sz val="10"/>
        <rFont val="Arial"/>
        <family val="2"/>
      </rPr>
      <t>PAO</t>
    </r>
    <r>
      <rPr>
        <sz val="10"/>
        <rFont val="Arial"/>
        <family val="2"/>
      </rPr>
      <t xml:space="preserve"> growth per X</t>
    </r>
    <r>
      <rPr>
        <vertAlign val="subscript"/>
        <sz val="10"/>
        <rFont val="Arial"/>
        <family val="2"/>
      </rPr>
      <t>PAO,PHA</t>
    </r>
  </si>
  <si>
    <r>
      <t>g X</t>
    </r>
    <r>
      <rPr>
        <vertAlign val="subscript"/>
        <sz val="8"/>
        <rFont val="Arial"/>
        <family val="2"/>
      </rPr>
      <t>PAO</t>
    </r>
    <r>
      <rPr>
        <sz val="8"/>
        <rFont val="Arial"/>
        <family val="2"/>
      </rPr>
      <t>.g X</t>
    </r>
    <r>
      <rPr>
        <vertAlign val="subscript"/>
        <sz val="8"/>
        <rFont val="Arial"/>
        <family val="2"/>
      </rPr>
      <t>PHA</t>
    </r>
    <r>
      <rPr>
        <vertAlign val="superscript"/>
        <sz val="10"/>
        <rFont val="Arial"/>
        <family val="2"/>
      </rPr>
      <t>-1</t>
    </r>
  </si>
  <si>
    <r>
      <t>Yield for X</t>
    </r>
    <r>
      <rPr>
        <vertAlign val="subscript"/>
        <sz val="10"/>
        <rFont val="Arial"/>
        <family val="2"/>
      </rPr>
      <t>PAO,PP</t>
    </r>
    <r>
      <rPr>
        <sz val="10"/>
        <rFont val="Arial"/>
        <family val="2"/>
      </rPr>
      <t xml:space="preserve"> storage (S</t>
    </r>
    <r>
      <rPr>
        <vertAlign val="subscript"/>
        <sz val="10"/>
        <rFont val="Arial"/>
        <family val="2"/>
      </rPr>
      <t>PO4</t>
    </r>
    <r>
      <rPr>
        <sz val="10"/>
        <rFont val="Arial"/>
        <family val="2"/>
      </rPr>
      <t xml:space="preserve"> uptake) per X</t>
    </r>
    <r>
      <rPr>
        <vertAlign val="subscript"/>
        <sz val="10"/>
        <rFont val="Arial"/>
        <family val="2"/>
      </rPr>
      <t>PAO,PHA</t>
    </r>
    <r>
      <rPr>
        <sz val="10"/>
        <rFont val="Arial"/>
        <family val="2"/>
      </rPr>
      <t xml:space="preserve"> utilized</t>
    </r>
  </si>
  <si>
    <r>
      <t>g X</t>
    </r>
    <r>
      <rPr>
        <vertAlign val="subscript"/>
        <sz val="8"/>
        <rFont val="Arial"/>
        <family val="2"/>
      </rPr>
      <t>PP</t>
    </r>
    <r>
      <rPr>
        <sz val="8"/>
        <rFont val="Arial"/>
        <family val="2"/>
      </rPr>
      <t>.g X</t>
    </r>
    <r>
      <rPr>
        <vertAlign val="subscript"/>
        <sz val="8"/>
        <rFont val="Arial"/>
        <family val="2"/>
      </rPr>
      <t>PHA</t>
    </r>
    <r>
      <rPr>
        <vertAlign val="superscript"/>
        <sz val="10"/>
        <rFont val="Arial"/>
        <family val="2"/>
      </rPr>
      <t>-1</t>
    </r>
  </si>
  <si>
    <r>
      <t>Yield for X</t>
    </r>
    <r>
      <rPr>
        <vertAlign val="subscript"/>
        <sz val="10"/>
        <rFont val="Arial"/>
        <family val="2"/>
      </rPr>
      <t>PAO,PP</t>
    </r>
    <r>
      <rPr>
        <sz val="10"/>
        <rFont val="Arial"/>
        <family val="2"/>
      </rPr>
      <t xml:space="preserve"> requirement (S</t>
    </r>
    <r>
      <rPr>
        <vertAlign val="subscript"/>
        <sz val="10"/>
        <rFont val="Arial"/>
        <family val="2"/>
      </rPr>
      <t>PO4</t>
    </r>
    <r>
      <rPr>
        <sz val="10"/>
        <rFont val="Arial"/>
        <family val="2"/>
      </rPr>
      <t xml:space="preserve"> release) per X</t>
    </r>
    <r>
      <rPr>
        <vertAlign val="subscript"/>
        <sz val="10"/>
        <rFont val="Arial"/>
        <family val="2"/>
      </rPr>
      <t>PAO,PHA</t>
    </r>
    <r>
      <rPr>
        <sz val="10"/>
        <rFont val="Arial"/>
        <family val="2"/>
      </rPr>
      <t xml:space="preserve"> stored (S</t>
    </r>
    <r>
      <rPr>
        <vertAlign val="subscript"/>
        <sz val="10"/>
        <rFont val="Arial"/>
        <family val="2"/>
      </rPr>
      <t>Ac</t>
    </r>
    <r>
      <rPr>
        <sz val="10"/>
        <rFont val="Arial"/>
        <family val="2"/>
      </rPr>
      <t xml:space="preserve"> utilized) </t>
    </r>
  </si>
  <si>
    <r>
      <t>g X</t>
    </r>
    <r>
      <rPr>
        <vertAlign val="subscript"/>
        <sz val="8"/>
        <rFont val="Arial"/>
        <family val="2"/>
      </rPr>
      <t>PP.</t>
    </r>
    <r>
      <rPr>
        <sz val="8"/>
        <rFont val="Arial"/>
        <family val="2"/>
      </rPr>
      <t>g X</t>
    </r>
    <r>
      <rPr>
        <vertAlign val="subscript"/>
        <sz val="8"/>
        <rFont val="Arial"/>
        <family val="2"/>
      </rPr>
      <t>PHA</t>
    </r>
    <r>
      <rPr>
        <vertAlign val="superscript"/>
        <sz val="8"/>
        <rFont val="Arial"/>
        <family val="2"/>
      </rPr>
      <t>-1</t>
    </r>
    <r>
      <rPr>
        <vertAlign val="subscript"/>
        <sz val="8"/>
        <rFont val="Arial"/>
        <family val="2"/>
      </rPr>
      <t xml:space="preserve"> </t>
    </r>
    <r>
      <rPr>
        <sz val="8"/>
        <rFont val="Arial"/>
        <family val="2"/>
      </rPr>
      <t>or g X</t>
    </r>
    <r>
      <rPr>
        <vertAlign val="subscript"/>
        <sz val="8"/>
        <rFont val="Arial"/>
        <family val="2"/>
      </rPr>
      <t>PO4</t>
    </r>
    <r>
      <rPr>
        <sz val="8"/>
        <rFont val="Arial"/>
        <family val="2"/>
      </rPr>
      <t>.g S</t>
    </r>
    <r>
      <rPr>
        <vertAlign val="subscript"/>
        <sz val="8"/>
        <rFont val="Arial"/>
        <family val="2"/>
      </rPr>
      <t>Ac</t>
    </r>
    <r>
      <rPr>
        <vertAlign val="superscript"/>
        <sz val="10"/>
        <rFont val="Arial"/>
        <family val="2"/>
      </rPr>
      <t>-1</t>
    </r>
  </si>
  <si>
    <r>
      <t>Yield of X</t>
    </r>
    <r>
      <rPr>
        <vertAlign val="subscript"/>
        <sz val="10"/>
        <rFont val="Arial"/>
        <family val="2"/>
      </rPr>
      <t>ANO</t>
    </r>
    <r>
      <rPr>
        <sz val="10"/>
        <rFont val="Arial"/>
        <family val="2"/>
      </rPr>
      <t xml:space="preserve"> growth per S</t>
    </r>
    <r>
      <rPr>
        <vertAlign val="subscript"/>
        <sz val="10"/>
        <rFont val="Arial"/>
        <family val="2"/>
      </rPr>
      <t>NO3</t>
    </r>
  </si>
  <si>
    <r>
      <t>g X</t>
    </r>
    <r>
      <rPr>
        <vertAlign val="subscript"/>
        <sz val="8"/>
        <rFont val="Arial"/>
        <family val="2"/>
      </rPr>
      <t>AUT</t>
    </r>
    <r>
      <rPr>
        <sz val="8"/>
        <rFont val="Arial"/>
        <family val="2"/>
      </rPr>
      <t>.g S</t>
    </r>
    <r>
      <rPr>
        <vertAlign val="subscript"/>
        <sz val="8"/>
        <rFont val="Arial"/>
        <family val="2"/>
      </rPr>
      <t>NOx</t>
    </r>
    <r>
      <rPr>
        <vertAlign val="superscript"/>
        <sz val="10"/>
        <rFont val="Arial"/>
        <family val="2"/>
      </rPr>
      <t>-1</t>
    </r>
  </si>
  <si>
    <r>
      <t xml:space="preserve"> X</t>
    </r>
    <r>
      <rPr>
        <vertAlign val="subscript"/>
        <sz val="10"/>
        <color indexed="8"/>
        <rFont val="Arial"/>
        <family val="2"/>
      </rPr>
      <t>MeOH</t>
    </r>
    <r>
      <rPr>
        <sz val="10"/>
        <color indexed="8"/>
        <rFont val="Arial"/>
        <family val="2"/>
      </rPr>
      <t xml:space="preserve"> requirement per S</t>
    </r>
    <r>
      <rPr>
        <vertAlign val="subscript"/>
        <sz val="10"/>
        <color indexed="8"/>
        <rFont val="Arial"/>
        <family val="2"/>
      </rPr>
      <t>PO4</t>
    </r>
    <r>
      <rPr>
        <sz val="10"/>
        <color indexed="8"/>
        <rFont val="Arial"/>
        <family val="2"/>
      </rPr>
      <t xml:space="preserve"> utilized</t>
    </r>
  </si>
  <si>
    <r>
      <t>g X</t>
    </r>
    <r>
      <rPr>
        <vertAlign val="subscript"/>
        <sz val="8"/>
        <color indexed="8"/>
        <rFont val="Arial"/>
        <family val="2"/>
      </rPr>
      <t>MeOH</t>
    </r>
    <r>
      <rPr>
        <sz val="8"/>
        <color indexed="8"/>
        <rFont val="Arial"/>
        <family val="2"/>
      </rPr>
      <t>. g S</t>
    </r>
    <r>
      <rPr>
        <vertAlign val="subscript"/>
        <sz val="8"/>
        <color indexed="8"/>
        <rFont val="Arial"/>
        <family val="2"/>
      </rPr>
      <t>PO4</t>
    </r>
    <r>
      <rPr>
        <vertAlign val="superscript"/>
        <sz val="8"/>
        <color indexed="8"/>
        <rFont val="Arial"/>
        <family val="2"/>
      </rPr>
      <t>-1</t>
    </r>
  </si>
  <si>
    <r>
      <t xml:space="preserve"> X</t>
    </r>
    <r>
      <rPr>
        <vertAlign val="subscript"/>
        <sz val="10"/>
        <color indexed="8"/>
        <rFont val="Arial"/>
        <family val="2"/>
      </rPr>
      <t>MeP</t>
    </r>
    <r>
      <rPr>
        <sz val="10"/>
        <color indexed="8"/>
        <rFont val="Arial"/>
        <family val="2"/>
      </rPr>
      <t xml:space="preserve"> formation per S</t>
    </r>
    <r>
      <rPr>
        <vertAlign val="subscript"/>
        <sz val="10"/>
        <color indexed="8"/>
        <rFont val="Arial"/>
        <family val="2"/>
      </rPr>
      <t>PO4</t>
    </r>
    <r>
      <rPr>
        <sz val="10"/>
        <color indexed="8"/>
        <rFont val="Arial"/>
        <family val="2"/>
      </rPr>
      <t xml:space="preserve"> utilized</t>
    </r>
  </si>
  <si>
    <r>
      <t>g X</t>
    </r>
    <r>
      <rPr>
        <vertAlign val="subscript"/>
        <sz val="8"/>
        <color indexed="8"/>
        <rFont val="Arial"/>
        <family val="2"/>
      </rPr>
      <t>MeP</t>
    </r>
    <r>
      <rPr>
        <sz val="8"/>
        <color indexed="8"/>
        <rFont val="Arial"/>
        <family val="2"/>
      </rPr>
      <t>. g S</t>
    </r>
    <r>
      <rPr>
        <vertAlign val="subscript"/>
        <sz val="8"/>
        <color indexed="8"/>
        <rFont val="Arial"/>
        <family val="2"/>
      </rPr>
      <t>PO4</t>
    </r>
    <r>
      <rPr>
        <vertAlign val="superscript"/>
        <sz val="8"/>
        <color indexed="8"/>
        <rFont val="Arial"/>
        <family val="2"/>
      </rPr>
      <t>-1</t>
    </r>
  </si>
  <si>
    <r>
      <t>Conversion factor for S</t>
    </r>
    <r>
      <rPr>
        <vertAlign val="subscript"/>
        <sz val="11"/>
        <color indexed="8"/>
        <rFont val="Arial"/>
        <family val="2"/>
      </rPr>
      <t>Ac</t>
    </r>
    <r>
      <rPr>
        <sz val="11"/>
        <color indexed="8"/>
        <rFont val="Arial"/>
        <family val="2"/>
      </rPr>
      <t xml:space="preserve"> (CH</t>
    </r>
    <r>
      <rPr>
        <vertAlign val="subscript"/>
        <sz val="11"/>
        <color indexed="8"/>
        <rFont val="Arial"/>
        <family val="2"/>
      </rPr>
      <t>3</t>
    </r>
    <r>
      <rPr>
        <sz val="11"/>
        <color indexed="8"/>
        <rFont val="Arial"/>
        <family val="2"/>
      </rPr>
      <t>COO</t>
    </r>
    <r>
      <rPr>
        <vertAlign val="superscript"/>
        <sz val="11"/>
        <color indexed="8"/>
        <rFont val="Arial"/>
        <family val="2"/>
      </rPr>
      <t>-</t>
    </r>
    <r>
      <rPr>
        <sz val="11"/>
        <color indexed="8"/>
        <rFont val="Arial"/>
        <family val="2"/>
      </rPr>
      <t>)in charge</t>
    </r>
  </si>
  <si>
    <r>
      <t>1-</t>
    </r>
    <r>
      <rPr>
        <i/>
        <sz val="12"/>
        <color indexed="8"/>
        <rFont val="Arial"/>
        <family val="2"/>
      </rPr>
      <t>f</t>
    </r>
    <r>
      <rPr>
        <vertAlign val="subscript"/>
        <sz val="12"/>
        <color indexed="8"/>
        <rFont val="Arial"/>
        <family val="2"/>
      </rPr>
      <t>SU_XCB,hyd</t>
    </r>
  </si>
  <si>
    <r>
      <t>-((1-</t>
    </r>
    <r>
      <rPr>
        <i/>
        <sz val="12"/>
        <color indexed="8"/>
        <rFont val="Arial"/>
        <family val="2"/>
      </rPr>
      <t>f</t>
    </r>
    <r>
      <rPr>
        <vertAlign val="subscript"/>
        <sz val="12"/>
        <color indexed="8"/>
        <rFont val="Arial"/>
        <family val="2"/>
      </rPr>
      <t>SU_XCB,hyd</t>
    </r>
    <r>
      <rPr>
        <sz val="11"/>
        <color indexed="8"/>
        <rFont val="Arial"/>
        <family val="2"/>
      </rPr>
      <t>)*</t>
    </r>
    <r>
      <rPr>
        <i/>
        <sz val="12"/>
        <color indexed="8"/>
        <rFont val="Arial"/>
        <family val="2"/>
      </rPr>
      <t>i</t>
    </r>
    <r>
      <rPr>
        <vertAlign val="subscript"/>
        <sz val="12"/>
        <color indexed="8"/>
        <rFont val="Arial"/>
        <family val="2"/>
      </rPr>
      <t>N_SF</t>
    </r>
    <r>
      <rPr>
        <sz val="11"/>
        <color indexed="8"/>
        <rFont val="Arial"/>
        <family val="2"/>
      </rPr>
      <t>+</t>
    </r>
    <r>
      <rPr>
        <i/>
        <sz val="12"/>
        <color indexed="8"/>
        <rFont val="Arial"/>
        <family val="2"/>
      </rPr>
      <t>f</t>
    </r>
    <r>
      <rPr>
        <vertAlign val="subscript"/>
        <sz val="12"/>
        <color indexed="8"/>
        <rFont val="Arial"/>
        <family val="2"/>
      </rPr>
      <t>SU_XCB,hyd</t>
    </r>
    <r>
      <rPr>
        <sz val="11"/>
        <color indexed="8"/>
        <rFont val="Arial"/>
        <family val="2"/>
      </rPr>
      <t>*</t>
    </r>
    <r>
      <rPr>
        <i/>
        <sz val="12"/>
        <color indexed="8"/>
        <rFont val="Arial"/>
        <family val="2"/>
      </rPr>
      <t>i</t>
    </r>
    <r>
      <rPr>
        <vertAlign val="subscript"/>
        <sz val="12"/>
        <color indexed="8"/>
        <rFont val="Arial"/>
        <family val="2"/>
      </rPr>
      <t>N_SU</t>
    </r>
    <r>
      <rPr>
        <sz val="11"/>
        <color indexed="8"/>
        <rFont val="Arial"/>
        <family val="2"/>
      </rPr>
      <t>-</t>
    </r>
    <r>
      <rPr>
        <i/>
        <sz val="12"/>
        <color indexed="8"/>
        <rFont val="Arial"/>
        <family val="2"/>
      </rPr>
      <t>i</t>
    </r>
    <r>
      <rPr>
        <vertAlign val="subscript"/>
        <sz val="12"/>
        <color indexed="8"/>
        <rFont val="Arial"/>
        <family val="2"/>
      </rPr>
      <t>N_XCB</t>
    </r>
    <r>
      <rPr>
        <sz val="11"/>
        <color indexed="8"/>
        <rFont val="Arial"/>
        <family val="2"/>
      </rPr>
      <t>)</t>
    </r>
  </si>
  <si>
    <r>
      <t>-((1-</t>
    </r>
    <r>
      <rPr>
        <i/>
        <sz val="12"/>
        <color indexed="8"/>
        <rFont val="Arial"/>
        <family val="2"/>
      </rPr>
      <t>f</t>
    </r>
    <r>
      <rPr>
        <vertAlign val="subscript"/>
        <sz val="12"/>
        <color indexed="8"/>
        <rFont val="Arial"/>
        <family val="2"/>
      </rPr>
      <t>SU_XCB,hyd</t>
    </r>
    <r>
      <rPr>
        <sz val="11"/>
        <color indexed="8"/>
        <rFont val="Arial"/>
        <family val="2"/>
      </rPr>
      <t>)*</t>
    </r>
    <r>
      <rPr>
        <i/>
        <sz val="12"/>
        <color indexed="8"/>
        <rFont val="Arial"/>
        <family val="2"/>
      </rPr>
      <t>i</t>
    </r>
    <r>
      <rPr>
        <vertAlign val="subscript"/>
        <sz val="12"/>
        <color indexed="8"/>
        <rFont val="Arial"/>
        <family val="2"/>
      </rPr>
      <t>P_SF</t>
    </r>
    <r>
      <rPr>
        <sz val="11"/>
        <color indexed="8"/>
        <rFont val="Arial"/>
        <family val="2"/>
      </rPr>
      <t>+</t>
    </r>
    <r>
      <rPr>
        <i/>
        <sz val="12"/>
        <color indexed="8"/>
        <rFont val="Arial"/>
        <family val="2"/>
      </rPr>
      <t>f</t>
    </r>
    <r>
      <rPr>
        <vertAlign val="subscript"/>
        <sz val="12"/>
        <color indexed="8"/>
        <rFont val="Arial"/>
        <family val="2"/>
      </rPr>
      <t>SU_XCB,hyd</t>
    </r>
    <r>
      <rPr>
        <sz val="11"/>
        <color indexed="8"/>
        <rFont val="Arial"/>
        <family val="2"/>
      </rPr>
      <t>*</t>
    </r>
    <r>
      <rPr>
        <i/>
        <sz val="12"/>
        <color indexed="8"/>
        <rFont val="Arial"/>
        <family val="2"/>
      </rPr>
      <t>i</t>
    </r>
    <r>
      <rPr>
        <vertAlign val="subscript"/>
        <sz val="12"/>
        <color indexed="8"/>
        <rFont val="Arial"/>
        <family val="2"/>
      </rPr>
      <t>P_SU</t>
    </r>
    <r>
      <rPr>
        <sz val="11"/>
        <color indexed="8"/>
        <rFont val="Arial"/>
        <family val="2"/>
      </rPr>
      <t>-</t>
    </r>
    <r>
      <rPr>
        <i/>
        <sz val="12"/>
        <color indexed="8"/>
        <rFont val="Arial"/>
        <family val="2"/>
      </rPr>
      <t>i</t>
    </r>
    <r>
      <rPr>
        <vertAlign val="subscript"/>
        <sz val="12"/>
        <color indexed="8"/>
        <rFont val="Arial"/>
        <family val="2"/>
      </rPr>
      <t>P_XCB</t>
    </r>
    <r>
      <rPr>
        <sz val="11"/>
        <color indexed="8"/>
        <rFont val="Arial"/>
        <family val="2"/>
      </rPr>
      <t>)</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</si>
  <si>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1_SNHx</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v</t>
    </r>
    <r>
      <rPr>
        <vertAlign val="subscript"/>
        <sz val="12"/>
        <color indexed="8"/>
        <rFont val="Arial"/>
        <family val="2"/>
      </rPr>
      <t>1_SPO4</t>
    </r>
  </si>
  <si>
    <r>
      <t>-</t>
    </r>
    <r>
      <rPr>
        <i/>
        <sz val="12"/>
        <color indexed="8"/>
        <rFont val="Arial"/>
        <family val="2"/>
      </rPr>
      <t>i</t>
    </r>
    <r>
      <rPr>
        <vertAlign val="subscript"/>
        <sz val="12"/>
        <color indexed="8"/>
        <rFont val="Arial"/>
        <family val="2"/>
      </rPr>
      <t>TSS_XCB</t>
    </r>
  </si>
  <si>
    <r>
      <t>q</t>
    </r>
    <r>
      <rPr>
        <vertAlign val="subscript"/>
        <sz val="12"/>
        <color indexed="8"/>
        <rFont val="Arial"/>
        <family val="2"/>
      </rPr>
      <t>XCB_SB,hyd</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K</t>
    </r>
    <r>
      <rPr>
        <vertAlign val="subscript"/>
        <sz val="12"/>
        <color indexed="8"/>
        <rFont val="Arial"/>
        <family val="2"/>
      </rPr>
      <t>O2,hyd</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XC</t>
    </r>
    <r>
      <rPr>
        <vertAlign val="subscript"/>
        <sz val="12"/>
        <color indexed="8"/>
        <rFont val="Arial"/>
        <family val="2"/>
      </rPr>
      <t>B</t>
    </r>
    <r>
      <rPr>
        <sz val="11"/>
        <color indexed="8"/>
        <rFont val="Arial"/>
        <family val="2"/>
      </rPr>
      <t>/</t>
    </r>
    <r>
      <rPr>
        <i/>
        <sz val="12"/>
        <color indexed="8"/>
        <rFont val="Arial"/>
        <family val="2"/>
      </rPr>
      <t>X</t>
    </r>
    <r>
      <rPr>
        <vertAlign val="subscript"/>
        <sz val="12"/>
        <color indexed="8"/>
        <rFont val="Arial"/>
        <family val="2"/>
      </rPr>
      <t>OHO</t>
    </r>
    <r>
      <rPr>
        <sz val="11"/>
        <color indexed="8"/>
        <rFont val="Arial"/>
        <family val="2"/>
      </rPr>
      <t>)/(</t>
    </r>
    <r>
      <rPr>
        <i/>
        <sz val="12"/>
        <color indexed="8"/>
        <rFont val="Arial"/>
        <family val="2"/>
      </rPr>
      <t>K</t>
    </r>
    <r>
      <rPr>
        <vertAlign val="subscript"/>
        <sz val="12"/>
        <color indexed="8"/>
        <rFont val="Arial"/>
        <family val="2"/>
      </rPr>
      <t>XCB,hyd</t>
    </r>
    <r>
      <rPr>
        <sz val="11"/>
        <color indexed="8"/>
        <rFont val="Arial"/>
        <family val="2"/>
      </rPr>
      <t>+(</t>
    </r>
    <r>
      <rPr>
        <i/>
        <sz val="12"/>
        <color indexed="8"/>
        <rFont val="Arial"/>
        <family val="2"/>
      </rPr>
      <t>XC</t>
    </r>
    <r>
      <rPr>
        <vertAlign val="subscript"/>
        <sz val="12"/>
        <color indexed="8"/>
        <rFont val="Arial"/>
        <family val="2"/>
      </rPr>
      <t>B</t>
    </r>
    <r>
      <rPr>
        <sz val="11"/>
        <color indexed="8"/>
        <rFont val="Arial"/>
        <family val="2"/>
      </rPr>
      <t>/</t>
    </r>
    <r>
      <rPr>
        <i/>
        <sz val="12"/>
        <color indexed="8"/>
        <rFont val="Arial"/>
        <family val="2"/>
      </rPr>
      <t>X</t>
    </r>
    <r>
      <rPr>
        <vertAlign val="subscript"/>
        <sz val="12"/>
        <color indexed="8"/>
        <rFont val="Arial"/>
        <family val="2"/>
      </rPr>
      <t>OHO</t>
    </r>
    <r>
      <rPr>
        <sz val="11"/>
        <color indexed="8"/>
        <rFont val="Arial"/>
        <family val="2"/>
      </rPr>
      <t>))]*</t>
    </r>
    <r>
      <rPr>
        <i/>
        <sz val="12"/>
        <color indexed="8"/>
        <rFont val="Arial"/>
        <family val="2"/>
      </rPr>
      <t>X</t>
    </r>
    <r>
      <rPr>
        <vertAlign val="subscript"/>
        <sz val="12"/>
        <color indexed="8"/>
        <rFont val="Arial"/>
        <family val="2"/>
      </rPr>
      <t>OHO</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</si>
  <si>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2_SNHx</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v</t>
    </r>
    <r>
      <rPr>
        <vertAlign val="subscript"/>
        <sz val="12"/>
        <color indexed="8"/>
        <rFont val="Arial"/>
        <family val="2"/>
      </rPr>
      <t>2_SPO4</t>
    </r>
  </si>
  <si>
    <r>
      <t>q</t>
    </r>
    <r>
      <rPr>
        <vertAlign val="subscript"/>
        <sz val="12"/>
        <color indexed="8"/>
        <rFont val="Arial"/>
        <family val="2"/>
      </rPr>
      <t>XCB_SB,hyd</t>
    </r>
    <r>
      <rPr>
        <sz val="12"/>
        <color indexed="8"/>
        <rFont val="Arial"/>
        <family val="2"/>
      </rPr>
      <t>*</t>
    </r>
    <r>
      <rPr>
        <i/>
        <sz val="12"/>
        <color indexed="8"/>
        <rFont val="Arial"/>
        <family val="2"/>
      </rPr>
      <t>n</t>
    </r>
    <r>
      <rPr>
        <vertAlign val="subscript"/>
        <sz val="12"/>
        <color indexed="8"/>
        <rFont val="Arial"/>
        <family val="2"/>
      </rPr>
      <t>qhyd,Ax</t>
    </r>
    <r>
      <rPr>
        <sz val="12"/>
        <color indexed="8"/>
        <rFont val="Arial"/>
        <family val="2"/>
      </rPr>
      <t>*[</t>
    </r>
    <r>
      <rPr>
        <i/>
        <sz val="12"/>
        <color indexed="8"/>
        <rFont val="Arial"/>
        <family val="2"/>
      </rPr>
      <t>K</t>
    </r>
    <r>
      <rPr>
        <vertAlign val="subscript"/>
        <sz val="12"/>
        <color indexed="8"/>
        <rFont val="Arial"/>
        <family val="2"/>
      </rPr>
      <t>O2,hyd</t>
    </r>
    <r>
      <rPr>
        <sz val="12"/>
        <color indexed="8"/>
        <rFont val="Arial"/>
        <family val="2"/>
      </rPr>
      <t>/(</t>
    </r>
    <r>
      <rPr>
        <i/>
        <sz val="12"/>
        <color indexed="8"/>
        <rFont val="Arial"/>
        <family val="2"/>
      </rPr>
      <t>K</t>
    </r>
    <r>
      <rPr>
        <vertAlign val="subscript"/>
        <sz val="12"/>
        <color indexed="8"/>
        <rFont val="Arial"/>
        <family val="2"/>
      </rPr>
      <t>O2,hyd</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NOx,hyd</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K</t>
    </r>
    <r>
      <rPr>
        <vertAlign val="subscript"/>
        <sz val="12"/>
        <color indexed="8"/>
        <rFont val="Arial"/>
        <family val="2"/>
      </rPr>
      <t>XCB,hyd</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X</t>
    </r>
    <r>
      <rPr>
        <vertAlign val="subscript"/>
        <sz val="12"/>
        <color indexed="8"/>
        <rFont val="Arial"/>
        <family val="2"/>
      </rPr>
      <t>OHO</t>
    </r>
  </si>
  <si>
    <r>
      <t>Conversion factor for PO</t>
    </r>
    <r>
      <rPr>
        <vertAlign val="subscript"/>
        <sz val="11"/>
        <color indexed="8"/>
        <rFont val="Arial"/>
        <family val="2"/>
      </rPr>
      <t>4</t>
    </r>
    <r>
      <rPr>
        <sz val="11"/>
        <color indexed="8"/>
        <rFont val="Arial"/>
        <family val="2"/>
      </rPr>
      <t xml:space="preserve"> in charge</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</si>
  <si>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3_SNHx</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v</t>
    </r>
    <r>
      <rPr>
        <vertAlign val="subscript"/>
        <sz val="12"/>
        <color indexed="8"/>
        <rFont val="Arial"/>
        <family val="2"/>
      </rPr>
      <t>3_SPO4</t>
    </r>
  </si>
  <si>
    <r>
      <t>q</t>
    </r>
    <r>
      <rPr>
        <vertAlign val="subscript"/>
        <sz val="12"/>
        <color indexed="8"/>
        <rFont val="Arial"/>
        <family val="2"/>
      </rPr>
      <t>XCB_SB,hyd</t>
    </r>
    <r>
      <rPr>
        <sz val="12"/>
        <color indexed="8"/>
        <rFont val="Arial"/>
        <family val="2"/>
      </rPr>
      <t>*</t>
    </r>
    <r>
      <rPr>
        <i/>
        <sz val="12"/>
        <color indexed="8"/>
        <rFont val="Arial"/>
        <family val="2"/>
      </rPr>
      <t>n</t>
    </r>
    <r>
      <rPr>
        <vertAlign val="subscript"/>
        <sz val="12"/>
        <color indexed="8"/>
        <rFont val="Arial"/>
        <family val="2"/>
      </rPr>
      <t>qhyd,An</t>
    </r>
    <r>
      <rPr>
        <sz val="12"/>
        <color indexed="8"/>
        <rFont val="Arial"/>
        <family val="2"/>
      </rPr>
      <t>*[</t>
    </r>
    <r>
      <rPr>
        <i/>
        <sz val="12"/>
        <color indexed="8"/>
        <rFont val="Arial"/>
        <family val="2"/>
      </rPr>
      <t>K</t>
    </r>
    <r>
      <rPr>
        <vertAlign val="subscript"/>
        <sz val="12"/>
        <color indexed="8"/>
        <rFont val="Arial"/>
        <family val="2"/>
      </rPr>
      <t>O2,hyd</t>
    </r>
    <r>
      <rPr>
        <sz val="12"/>
        <color indexed="8"/>
        <rFont val="Arial"/>
        <family val="2"/>
      </rPr>
      <t>/(</t>
    </r>
    <r>
      <rPr>
        <i/>
        <sz val="12"/>
        <color indexed="8"/>
        <rFont val="Arial"/>
        <family val="2"/>
      </rPr>
      <t>K</t>
    </r>
    <r>
      <rPr>
        <vertAlign val="subscript"/>
        <sz val="12"/>
        <color indexed="8"/>
        <rFont val="Arial"/>
        <family val="2"/>
      </rPr>
      <t>O2,hyd</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NOx,hyd</t>
    </r>
    <r>
      <rPr>
        <sz val="12"/>
        <color indexed="8"/>
        <rFont val="Arial"/>
        <family val="2"/>
      </rPr>
      <t>/(</t>
    </r>
    <r>
      <rPr>
        <i/>
        <sz val="12"/>
        <color indexed="8"/>
        <rFont val="Arial"/>
        <family val="2"/>
      </rPr>
      <t>K</t>
    </r>
    <r>
      <rPr>
        <vertAlign val="subscript"/>
        <sz val="12"/>
        <color indexed="8"/>
        <rFont val="Arial"/>
        <family val="2"/>
      </rPr>
      <t>NOx,hyd</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K</t>
    </r>
    <r>
      <rPr>
        <vertAlign val="subscript"/>
        <sz val="12"/>
        <color indexed="8"/>
        <rFont val="Arial"/>
        <family val="2"/>
      </rPr>
      <t>XCB,hyd</t>
    </r>
    <r>
      <rPr>
        <sz val="12"/>
        <color indexed="8"/>
        <rFont val="Arial"/>
        <family val="2"/>
      </rPr>
      <t>+(</t>
    </r>
    <r>
      <rPr>
        <i/>
        <sz val="12"/>
        <color indexed="8"/>
        <rFont val="Arial"/>
        <family val="2"/>
      </rPr>
      <t>XC</t>
    </r>
    <r>
      <rPr>
        <vertAlign val="subscript"/>
        <sz val="12"/>
        <color indexed="8"/>
        <rFont val="Arial"/>
        <family val="2"/>
      </rPr>
      <t>B</t>
    </r>
    <r>
      <rPr>
        <sz val="12"/>
        <color indexed="8"/>
        <rFont val="Arial"/>
        <family val="2"/>
      </rPr>
      <t>/</t>
    </r>
    <r>
      <rPr>
        <i/>
        <sz val="12"/>
        <color indexed="8"/>
        <rFont val="Arial"/>
        <family val="2"/>
      </rPr>
      <t>X</t>
    </r>
    <r>
      <rPr>
        <vertAlign val="subscript"/>
        <sz val="12"/>
        <color indexed="8"/>
        <rFont val="Arial"/>
        <family val="2"/>
      </rPr>
      <t>OHO</t>
    </r>
    <r>
      <rPr>
        <sz val="12"/>
        <color indexed="8"/>
        <rFont val="Arial"/>
        <family val="2"/>
      </rPr>
      <t>))]*</t>
    </r>
    <r>
      <rPr>
        <i/>
        <sz val="12"/>
        <color indexed="8"/>
        <rFont val="Arial"/>
        <family val="2"/>
      </rPr>
      <t>X</t>
    </r>
    <r>
      <rPr>
        <vertAlign val="subscript"/>
        <sz val="12"/>
        <color indexed="8"/>
        <rFont val="Arial"/>
        <family val="2"/>
      </rPr>
      <t>OHO</t>
    </r>
  </si>
  <si>
    <r>
      <t>Conversion factor for X</t>
    </r>
    <r>
      <rPr>
        <vertAlign val="subscript"/>
        <sz val="11"/>
        <color indexed="8"/>
        <rFont val="Arial"/>
        <family val="2"/>
      </rPr>
      <t>PAO,PP</t>
    </r>
    <r>
      <rPr>
        <sz val="11"/>
        <color indexed="8"/>
        <rFont val="Arial"/>
        <family val="2"/>
      </rPr>
      <t xml:space="preserve"> (K</t>
    </r>
    <r>
      <rPr>
        <vertAlign val="subscript"/>
        <sz val="11"/>
        <color indexed="8"/>
        <rFont val="Arial"/>
        <family val="2"/>
      </rPr>
      <t>0.33</t>
    </r>
    <r>
      <rPr>
        <sz val="11"/>
        <color indexed="8"/>
        <rFont val="Arial"/>
        <family val="2"/>
      </rPr>
      <t>Mg</t>
    </r>
    <r>
      <rPr>
        <vertAlign val="subscript"/>
        <sz val="11"/>
        <color indexed="8"/>
        <rFont val="Arial"/>
        <family val="2"/>
      </rPr>
      <t>0.33</t>
    </r>
    <r>
      <rPr>
        <sz val="11"/>
        <color indexed="8"/>
        <rFont val="Arial"/>
        <family val="2"/>
      </rPr>
      <t>PO</t>
    </r>
    <r>
      <rPr>
        <vertAlign val="subscript"/>
        <sz val="11"/>
        <color indexed="8"/>
        <rFont val="Arial"/>
        <family val="2"/>
      </rPr>
      <t>3</t>
    </r>
    <r>
      <rPr>
        <sz val="11"/>
        <color indexed="8"/>
        <rFont val="Arial"/>
        <family val="2"/>
      </rPr>
      <t>)</t>
    </r>
    <r>
      <rPr>
        <vertAlign val="subscript"/>
        <sz val="11"/>
        <color indexed="8"/>
        <rFont val="Arial"/>
        <family val="2"/>
      </rPr>
      <t>n</t>
    </r>
    <r>
      <rPr>
        <sz val="11"/>
        <color indexed="8"/>
        <rFont val="Arial"/>
        <family val="2"/>
      </rPr>
      <t xml:space="preserve"> in charge</t>
    </r>
  </si>
  <si>
    <r>
      <t>-(1-</t>
    </r>
    <r>
      <rPr>
        <i/>
        <sz val="12"/>
        <color indexed="8"/>
        <rFont val="Arial"/>
        <family val="2"/>
      </rPr>
      <t>Y</t>
    </r>
    <r>
      <rPr>
        <vertAlign val="subscript"/>
        <sz val="12"/>
        <color indexed="8"/>
        <rFont val="Arial"/>
        <family val="2"/>
      </rPr>
      <t>OHO</t>
    </r>
    <r>
      <rPr>
        <sz val="11"/>
        <color indexed="8"/>
        <rFont val="Arial"/>
        <family val="2"/>
      </rPr>
      <t>)/</t>
    </r>
    <r>
      <rPr>
        <i/>
        <sz val="12"/>
        <color indexed="8"/>
        <rFont val="Arial"/>
        <family val="2"/>
      </rPr>
      <t>Y</t>
    </r>
    <r>
      <rPr>
        <vertAlign val="subscript"/>
        <sz val="12"/>
        <color indexed="8"/>
        <rFont val="Arial"/>
        <family val="2"/>
      </rPr>
      <t>OHO</t>
    </r>
  </si>
  <si>
    <r>
      <t>-1/</t>
    </r>
    <r>
      <rPr>
        <i/>
        <sz val="12"/>
        <color indexed="8"/>
        <rFont val="Arial"/>
        <family val="2"/>
      </rPr>
      <t>Y</t>
    </r>
    <r>
      <rPr>
        <vertAlign val="subscript"/>
        <sz val="12"/>
        <color indexed="8"/>
        <rFont val="Arial"/>
        <family val="2"/>
      </rPr>
      <t>OHO</t>
    </r>
  </si>
  <si>
    <r>
      <t>-(-1/</t>
    </r>
    <r>
      <rPr>
        <i/>
        <sz val="12"/>
        <color indexed="8"/>
        <rFont val="Arial"/>
        <family val="2"/>
      </rPr>
      <t>Y</t>
    </r>
    <r>
      <rPr>
        <vertAlign val="subscript"/>
        <sz val="12"/>
        <color indexed="8"/>
        <rFont val="Arial"/>
        <family val="2"/>
      </rPr>
      <t>OHO</t>
    </r>
    <r>
      <rPr>
        <sz val="11"/>
        <color indexed="8"/>
        <rFont val="Arial"/>
        <family val="2"/>
      </rPr>
      <t>*</t>
    </r>
    <r>
      <rPr>
        <i/>
        <sz val="12"/>
        <color indexed="8"/>
        <rFont val="Arial"/>
        <family val="2"/>
      </rPr>
      <t>i</t>
    </r>
    <r>
      <rPr>
        <vertAlign val="subscript"/>
        <sz val="12"/>
        <color indexed="8"/>
        <rFont val="Arial"/>
        <family val="2"/>
      </rPr>
      <t>N_SF</t>
    </r>
    <r>
      <rPr>
        <sz val="11"/>
        <color indexed="8"/>
        <rFont val="Arial"/>
        <family val="2"/>
      </rPr>
      <t>+</t>
    </r>
    <r>
      <rPr>
        <i/>
        <sz val="12"/>
        <color indexed="8"/>
        <rFont val="Arial"/>
        <family val="2"/>
      </rPr>
      <t>i</t>
    </r>
    <r>
      <rPr>
        <vertAlign val="subscript"/>
        <sz val="12"/>
        <color indexed="8"/>
        <rFont val="Arial"/>
        <family val="2"/>
      </rPr>
      <t>N_XBio</t>
    </r>
    <r>
      <rPr>
        <sz val="11"/>
        <color indexed="8"/>
        <rFont val="Arial"/>
        <family val="2"/>
      </rPr>
      <t>)</t>
    </r>
  </si>
  <si>
    <r>
      <t>-(-1/</t>
    </r>
    <r>
      <rPr>
        <i/>
        <sz val="12"/>
        <color indexed="8"/>
        <rFont val="Arial"/>
        <family val="2"/>
      </rPr>
      <t>Y</t>
    </r>
    <r>
      <rPr>
        <vertAlign val="subscript"/>
        <sz val="12"/>
        <color indexed="8"/>
        <rFont val="Arial"/>
        <family val="2"/>
      </rPr>
      <t>OHO</t>
    </r>
    <r>
      <rPr>
        <sz val="11"/>
        <color indexed="8"/>
        <rFont val="Arial"/>
        <family val="2"/>
      </rPr>
      <t>*</t>
    </r>
    <r>
      <rPr>
        <i/>
        <sz val="12"/>
        <color indexed="8"/>
        <rFont val="Arial"/>
        <family val="2"/>
      </rPr>
      <t>i</t>
    </r>
    <r>
      <rPr>
        <vertAlign val="subscript"/>
        <sz val="12"/>
        <color indexed="8"/>
        <rFont val="Arial"/>
        <family val="2"/>
      </rPr>
      <t>P_SF</t>
    </r>
    <r>
      <rPr>
        <sz val="11"/>
        <color indexed="8"/>
        <rFont val="Arial"/>
        <family val="2"/>
      </rPr>
      <t>+</t>
    </r>
    <r>
      <rPr>
        <i/>
        <sz val="12"/>
        <color indexed="8"/>
        <rFont val="Arial"/>
        <family val="2"/>
      </rPr>
      <t>i</t>
    </r>
    <r>
      <rPr>
        <vertAlign val="subscript"/>
        <sz val="12"/>
        <color indexed="8"/>
        <rFont val="Arial"/>
        <family val="2"/>
      </rPr>
      <t>P_XBio</t>
    </r>
    <r>
      <rPr>
        <sz val="11"/>
        <color indexed="8"/>
        <rFont val="Arial"/>
        <family val="2"/>
      </rPr>
      <t>)</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</si>
  <si>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4_SNHx</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v</t>
    </r>
    <r>
      <rPr>
        <vertAlign val="subscript"/>
        <sz val="12"/>
        <color indexed="8"/>
        <rFont val="Arial"/>
        <family val="2"/>
      </rPr>
      <t>4_SPO4</t>
    </r>
  </si>
  <si>
    <r>
      <t>μ</t>
    </r>
    <r>
      <rPr>
        <vertAlign val="subscript"/>
        <sz val="12"/>
        <color indexed="8"/>
        <rFont val="Arial"/>
        <family val="2"/>
      </rPr>
      <t>OHO,Max</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K</t>
    </r>
    <r>
      <rPr>
        <vertAlign val="subscript"/>
        <sz val="12"/>
        <color indexed="8"/>
        <rFont val="Arial"/>
        <family val="2"/>
      </rPr>
      <t>O2,OHO</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S</t>
    </r>
    <r>
      <rPr>
        <vertAlign val="subscript"/>
        <sz val="12"/>
        <color indexed="8"/>
        <rFont val="Arial"/>
        <family val="2"/>
      </rPr>
      <t>F</t>
    </r>
    <r>
      <rPr>
        <sz val="11"/>
        <color indexed="8"/>
        <rFont val="Arial"/>
        <family val="2"/>
      </rPr>
      <t>/(</t>
    </r>
    <r>
      <rPr>
        <i/>
        <sz val="12"/>
        <color indexed="8"/>
        <rFont val="Arial"/>
        <family val="2"/>
      </rPr>
      <t>K</t>
    </r>
    <r>
      <rPr>
        <vertAlign val="subscript"/>
        <sz val="12"/>
        <color indexed="8"/>
        <rFont val="Arial"/>
        <family val="2"/>
      </rPr>
      <t>SF,OHO</t>
    </r>
    <r>
      <rPr>
        <sz val="11"/>
        <color indexed="8"/>
        <rFont val="Arial"/>
        <family val="2"/>
      </rPr>
      <t>+</t>
    </r>
    <r>
      <rPr>
        <i/>
        <sz val="12"/>
        <color indexed="8"/>
        <rFont val="Arial"/>
        <family val="2"/>
      </rPr>
      <t>S</t>
    </r>
    <r>
      <rPr>
        <vertAlign val="subscript"/>
        <sz val="12"/>
        <color indexed="8"/>
        <rFont val="Arial"/>
        <family val="2"/>
      </rPr>
      <t>F</t>
    </r>
    <r>
      <rPr>
        <sz val="11"/>
        <color indexed="8"/>
        <rFont val="Arial"/>
        <family val="2"/>
      </rPr>
      <t>)]*[</t>
    </r>
    <r>
      <rPr>
        <i/>
        <sz val="12"/>
        <color indexed="8"/>
        <rFont val="Arial"/>
        <family val="2"/>
      </rPr>
      <t>S</t>
    </r>
    <r>
      <rPr>
        <vertAlign val="subscript"/>
        <sz val="12"/>
        <color indexed="8"/>
        <rFont val="Arial"/>
        <family val="2"/>
      </rPr>
      <t>F</t>
    </r>
    <r>
      <rPr>
        <sz val="11"/>
        <color indexed="8"/>
        <rFont val="Arial"/>
        <family val="2"/>
      </rPr>
      <t>/(</t>
    </r>
    <r>
      <rPr>
        <i/>
        <sz val="12"/>
        <color indexed="8"/>
        <rFont val="Arial"/>
        <family val="2"/>
      </rPr>
      <t>S</t>
    </r>
    <r>
      <rPr>
        <vertAlign val="subscript"/>
        <sz val="12"/>
        <color indexed="8"/>
        <rFont val="Arial"/>
        <family val="2"/>
      </rPr>
      <t>F</t>
    </r>
    <r>
      <rPr>
        <sz val="11"/>
        <color indexed="8"/>
        <rFont val="Arial"/>
        <family val="2"/>
      </rPr>
      <t>+</t>
    </r>
    <r>
      <rPr>
        <i/>
        <sz val="12"/>
        <color indexed="8"/>
        <rFont val="Arial"/>
        <family val="2"/>
      </rPr>
      <t>S</t>
    </r>
    <r>
      <rPr>
        <vertAlign val="subscript"/>
        <sz val="12"/>
        <color indexed="8"/>
        <rFont val="Arial"/>
        <family val="2"/>
      </rPr>
      <t>Ac</t>
    </r>
    <r>
      <rPr>
        <sz val="11"/>
        <color indexed="8"/>
        <rFont val="Arial"/>
        <family val="2"/>
      </rPr>
      <t>)]*[</t>
    </r>
    <r>
      <rPr>
        <i/>
        <sz val="12"/>
        <color indexed="8"/>
        <rFont val="Arial"/>
        <family val="2"/>
      </rPr>
      <t>S</t>
    </r>
    <r>
      <rPr>
        <vertAlign val="subscript"/>
        <sz val="12"/>
        <color indexed="8"/>
        <rFont val="Arial"/>
        <family val="2"/>
      </rPr>
      <t>NHx</t>
    </r>
    <r>
      <rPr>
        <sz val="11"/>
        <color indexed="8"/>
        <rFont val="Arial"/>
        <family val="2"/>
      </rPr>
      <t>/(</t>
    </r>
    <r>
      <rPr>
        <i/>
        <sz val="12"/>
        <color indexed="8"/>
        <rFont val="Arial"/>
        <family val="2"/>
      </rPr>
      <t>K</t>
    </r>
    <r>
      <rPr>
        <vertAlign val="subscript"/>
        <sz val="12"/>
        <color indexed="8"/>
        <rFont val="Arial"/>
        <family val="2"/>
      </rPr>
      <t>NHx,OHO</t>
    </r>
    <r>
      <rPr>
        <sz val="11"/>
        <color indexed="8"/>
        <rFont val="Arial"/>
        <family val="2"/>
      </rPr>
      <t>+</t>
    </r>
    <r>
      <rPr>
        <i/>
        <sz val="12"/>
        <color indexed="8"/>
        <rFont val="Arial"/>
        <family val="2"/>
      </rPr>
      <t>S</t>
    </r>
    <r>
      <rPr>
        <vertAlign val="subscript"/>
        <sz val="12"/>
        <color indexed="8"/>
        <rFont val="Arial"/>
        <family val="2"/>
      </rPr>
      <t>NHx</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K</t>
    </r>
    <r>
      <rPr>
        <vertAlign val="subscript"/>
        <sz val="12"/>
        <color indexed="8"/>
        <rFont val="Arial"/>
        <family val="2"/>
      </rPr>
      <t>PO4,OHO</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K</t>
    </r>
    <r>
      <rPr>
        <vertAlign val="subscript"/>
        <sz val="12"/>
        <color indexed="8"/>
        <rFont val="Arial"/>
        <family val="2"/>
      </rPr>
      <t>Alk,OHO</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OHO</t>
    </r>
  </si>
  <si>
    <r>
      <t>N content of S</t>
    </r>
    <r>
      <rPr>
        <vertAlign val="subscript"/>
        <sz val="10"/>
        <rFont val="Arial"/>
        <family val="2"/>
      </rPr>
      <t>F</t>
    </r>
  </si>
  <si>
    <r>
      <t>g N.g S</t>
    </r>
    <r>
      <rPr>
        <vertAlign val="subscript"/>
        <sz val="8"/>
        <rFont val="Arial"/>
        <family val="2"/>
      </rPr>
      <t>F</t>
    </r>
    <r>
      <rPr>
        <vertAlign val="superscript"/>
        <sz val="10"/>
        <rFont val="Arial"/>
        <family val="2"/>
      </rPr>
      <t>-1</t>
    </r>
  </si>
  <si>
    <r>
      <t>-</t>
    </r>
    <r>
      <rPr>
        <i/>
        <sz val="12"/>
        <color indexed="8"/>
        <rFont val="Arial"/>
        <family val="2"/>
      </rPr>
      <t>i</t>
    </r>
    <r>
      <rPr>
        <vertAlign val="subscript"/>
        <sz val="12"/>
        <color indexed="8"/>
        <rFont val="Arial"/>
        <family val="2"/>
      </rPr>
      <t>N_XBio</t>
    </r>
  </si>
  <si>
    <r>
      <t>-</t>
    </r>
    <r>
      <rPr>
        <i/>
        <sz val="12"/>
        <color indexed="8"/>
        <rFont val="Arial"/>
        <family val="2"/>
      </rPr>
      <t>i</t>
    </r>
    <r>
      <rPr>
        <vertAlign val="subscript"/>
        <sz val="12"/>
        <color indexed="8"/>
        <rFont val="Arial"/>
        <family val="2"/>
      </rPr>
      <t>P_XBio</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</si>
  <si>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5_SNHx</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v</t>
    </r>
    <r>
      <rPr>
        <vertAlign val="subscript"/>
        <sz val="12"/>
        <color indexed="8"/>
        <rFont val="Arial"/>
        <family val="2"/>
      </rPr>
      <t>5_PO4</t>
    </r>
    <r>
      <rPr>
        <sz val="11"/>
        <color indexed="8"/>
        <rFont val="Arial"/>
        <family val="2"/>
      </rPr>
      <t>+</t>
    </r>
    <r>
      <rPr>
        <i/>
        <sz val="12"/>
        <color indexed="8"/>
        <rFont val="Arial"/>
        <family val="2"/>
      </rPr>
      <t>i</t>
    </r>
    <r>
      <rPr>
        <vertAlign val="subscript"/>
        <sz val="12"/>
        <color indexed="8"/>
        <rFont val="Arial"/>
        <family val="2"/>
      </rPr>
      <t>Charge_Ac</t>
    </r>
    <r>
      <rPr>
        <sz val="11"/>
        <color indexed="8"/>
        <rFont val="Arial"/>
        <family val="2"/>
      </rPr>
      <t>*</t>
    </r>
    <r>
      <rPr>
        <i/>
        <sz val="12"/>
        <color indexed="8"/>
        <rFont val="Arial"/>
        <family val="2"/>
      </rPr>
      <t>v</t>
    </r>
    <r>
      <rPr>
        <vertAlign val="subscript"/>
        <sz val="12"/>
        <color indexed="8"/>
        <rFont val="Arial"/>
        <family val="2"/>
      </rPr>
      <t>5_SAc</t>
    </r>
  </si>
  <si>
    <r>
      <t>μ</t>
    </r>
    <r>
      <rPr>
        <vertAlign val="subscript"/>
        <sz val="12"/>
        <color indexed="8"/>
        <rFont val="Arial"/>
        <family val="2"/>
      </rPr>
      <t>OHO,Max</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K</t>
    </r>
    <r>
      <rPr>
        <vertAlign val="subscript"/>
        <sz val="12"/>
        <color indexed="8"/>
        <rFont val="Arial"/>
        <family val="2"/>
      </rPr>
      <t>O2,OHO</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S</t>
    </r>
    <r>
      <rPr>
        <vertAlign val="subscript"/>
        <sz val="12"/>
        <color indexed="8"/>
        <rFont val="Arial"/>
        <family val="2"/>
      </rPr>
      <t>Ac</t>
    </r>
    <r>
      <rPr>
        <sz val="11"/>
        <color indexed="8"/>
        <rFont val="Arial"/>
        <family val="2"/>
      </rPr>
      <t>/(</t>
    </r>
    <r>
      <rPr>
        <i/>
        <sz val="12"/>
        <color indexed="8"/>
        <rFont val="Arial"/>
        <family val="2"/>
      </rPr>
      <t>K</t>
    </r>
    <r>
      <rPr>
        <vertAlign val="subscript"/>
        <sz val="12"/>
        <color indexed="8"/>
        <rFont val="Arial"/>
        <family val="2"/>
      </rPr>
      <t>Ac,OHO</t>
    </r>
    <r>
      <rPr>
        <sz val="11"/>
        <color indexed="8"/>
        <rFont val="Arial"/>
        <family val="2"/>
      </rPr>
      <t>+</t>
    </r>
    <r>
      <rPr>
        <i/>
        <sz val="12"/>
        <color indexed="8"/>
        <rFont val="Arial"/>
        <family val="2"/>
      </rPr>
      <t>S</t>
    </r>
    <r>
      <rPr>
        <vertAlign val="subscript"/>
        <sz val="12"/>
        <color indexed="8"/>
        <rFont val="Arial"/>
        <family val="2"/>
      </rPr>
      <t>Ac</t>
    </r>
    <r>
      <rPr>
        <sz val="11"/>
        <color indexed="8"/>
        <rFont val="Arial"/>
        <family val="2"/>
      </rPr>
      <t>)]*[</t>
    </r>
    <r>
      <rPr>
        <i/>
        <sz val="12"/>
        <color indexed="8"/>
        <rFont val="Arial"/>
        <family val="2"/>
      </rPr>
      <t>S</t>
    </r>
    <r>
      <rPr>
        <vertAlign val="subscript"/>
        <sz val="12"/>
        <color indexed="8"/>
        <rFont val="Arial"/>
        <family val="2"/>
      </rPr>
      <t>Ac</t>
    </r>
    <r>
      <rPr>
        <sz val="11"/>
        <color indexed="8"/>
        <rFont val="Arial"/>
        <family val="2"/>
      </rPr>
      <t>/(</t>
    </r>
    <r>
      <rPr>
        <i/>
        <sz val="12"/>
        <color indexed="8"/>
        <rFont val="Arial"/>
        <family val="2"/>
      </rPr>
      <t>S</t>
    </r>
    <r>
      <rPr>
        <vertAlign val="subscript"/>
        <sz val="12"/>
        <color indexed="8"/>
        <rFont val="Arial"/>
        <family val="2"/>
      </rPr>
      <t>F</t>
    </r>
    <r>
      <rPr>
        <sz val="11"/>
        <color indexed="8"/>
        <rFont val="Arial"/>
        <family val="2"/>
      </rPr>
      <t>+</t>
    </r>
    <r>
      <rPr>
        <i/>
        <sz val="12"/>
        <color indexed="8"/>
        <rFont val="Arial"/>
        <family val="2"/>
      </rPr>
      <t>S</t>
    </r>
    <r>
      <rPr>
        <vertAlign val="subscript"/>
        <sz val="12"/>
        <color indexed="8"/>
        <rFont val="Arial"/>
        <family val="2"/>
      </rPr>
      <t>Ac</t>
    </r>
    <r>
      <rPr>
        <sz val="11"/>
        <color indexed="8"/>
        <rFont val="Arial"/>
        <family val="2"/>
      </rPr>
      <t>)]*[</t>
    </r>
    <r>
      <rPr>
        <i/>
        <sz val="12"/>
        <color indexed="8"/>
        <rFont val="Arial"/>
        <family val="2"/>
      </rPr>
      <t>S</t>
    </r>
    <r>
      <rPr>
        <vertAlign val="subscript"/>
        <sz val="12"/>
        <color indexed="8"/>
        <rFont val="Arial"/>
        <family val="2"/>
      </rPr>
      <t>NHx</t>
    </r>
    <r>
      <rPr>
        <sz val="11"/>
        <color indexed="8"/>
        <rFont val="Arial"/>
        <family val="2"/>
      </rPr>
      <t>/(</t>
    </r>
    <r>
      <rPr>
        <i/>
        <sz val="12"/>
        <color indexed="8"/>
        <rFont val="Arial"/>
        <family val="2"/>
      </rPr>
      <t>K</t>
    </r>
    <r>
      <rPr>
        <vertAlign val="subscript"/>
        <sz val="12"/>
        <color indexed="8"/>
        <rFont val="Arial"/>
        <family val="2"/>
      </rPr>
      <t>NHx,OHO</t>
    </r>
    <r>
      <rPr>
        <sz val="11"/>
        <color indexed="8"/>
        <rFont val="Arial"/>
        <family val="2"/>
      </rPr>
      <t>+</t>
    </r>
    <r>
      <rPr>
        <i/>
        <sz val="12"/>
        <color indexed="8"/>
        <rFont val="Arial"/>
        <family val="2"/>
      </rPr>
      <t>S</t>
    </r>
    <r>
      <rPr>
        <vertAlign val="subscript"/>
        <sz val="12"/>
        <color indexed="8"/>
        <rFont val="Arial"/>
        <family val="2"/>
      </rPr>
      <t>NHx</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K</t>
    </r>
    <r>
      <rPr>
        <vertAlign val="subscript"/>
        <sz val="12"/>
        <color indexed="8"/>
        <rFont val="Arial"/>
        <family val="2"/>
      </rPr>
      <t>PO4,OHO</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K</t>
    </r>
    <r>
      <rPr>
        <vertAlign val="subscript"/>
        <sz val="12"/>
        <color indexed="8"/>
        <rFont val="Arial"/>
        <family val="2"/>
      </rPr>
      <t>Alk,OHO</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OHO</t>
    </r>
  </si>
  <si>
    <r>
      <t>N content of S</t>
    </r>
    <r>
      <rPr>
        <vertAlign val="subscript"/>
        <sz val="10"/>
        <rFont val="Arial"/>
        <family val="2"/>
      </rPr>
      <t>U</t>
    </r>
  </si>
  <si>
    <r>
      <t>g N.g S</t>
    </r>
    <r>
      <rPr>
        <vertAlign val="subscript"/>
        <sz val="8"/>
        <rFont val="Arial"/>
        <family val="2"/>
      </rPr>
      <t>U</t>
    </r>
    <r>
      <rPr>
        <vertAlign val="superscript"/>
        <sz val="10"/>
        <rFont val="Arial"/>
        <family val="2"/>
      </rPr>
      <t>-1</t>
    </r>
  </si>
  <si>
    <r>
      <t>-(1-</t>
    </r>
    <r>
      <rPr>
        <i/>
        <sz val="12"/>
        <color indexed="8"/>
        <rFont val="Arial"/>
        <family val="2"/>
      </rPr>
      <t>Y</t>
    </r>
    <r>
      <rPr>
        <vertAlign val="subscript"/>
        <sz val="12"/>
        <color indexed="8"/>
        <rFont val="Arial"/>
        <family val="2"/>
      </rPr>
      <t>OHO</t>
    </r>
    <r>
      <rPr>
        <sz val="11"/>
        <color indexed="8"/>
        <rFont val="Arial"/>
        <family val="2"/>
      </rPr>
      <t>)/(</t>
    </r>
    <r>
      <rPr>
        <i/>
        <sz val="12"/>
        <color indexed="8"/>
        <rFont val="Arial"/>
        <family val="2"/>
      </rPr>
      <t>i</t>
    </r>
    <r>
      <rPr>
        <vertAlign val="subscript"/>
        <sz val="12"/>
        <color indexed="8"/>
        <rFont val="Arial"/>
        <family val="2"/>
      </rPr>
      <t>NOx,N2</t>
    </r>
    <r>
      <rPr>
        <sz val="11"/>
        <color indexed="8"/>
        <rFont val="Arial"/>
        <family val="2"/>
      </rPr>
      <t>*</t>
    </r>
    <r>
      <rPr>
        <i/>
        <sz val="12"/>
        <color indexed="8"/>
        <rFont val="Arial"/>
        <family val="2"/>
      </rPr>
      <t>Y</t>
    </r>
    <r>
      <rPr>
        <vertAlign val="subscript"/>
        <sz val="12"/>
        <color indexed="8"/>
        <rFont val="Arial"/>
        <family val="2"/>
      </rPr>
      <t>OHO</t>
    </r>
    <r>
      <rPr>
        <sz val="11"/>
        <color indexed="8"/>
        <rFont val="Arial"/>
        <family val="2"/>
      </rPr>
      <t>)</t>
    </r>
  </si>
  <si>
    <r>
      <t>i</t>
    </r>
    <r>
      <rPr>
        <vertAlign val="subscript"/>
        <sz val="12"/>
        <color indexed="8"/>
        <rFont val="Arial"/>
        <family val="2"/>
      </rPr>
      <t>Charge_NHx</t>
    </r>
    <r>
      <rPr>
        <i/>
        <sz val="12"/>
        <color indexed="8"/>
        <rFont val="Arial"/>
        <family val="2"/>
      </rPr>
      <t>*v</t>
    </r>
    <r>
      <rPr>
        <vertAlign val="subscript"/>
        <sz val="12"/>
        <color indexed="8"/>
        <rFont val="Arial"/>
        <family val="2"/>
      </rPr>
      <t>6_SNHx</t>
    </r>
    <r>
      <rPr>
        <i/>
        <sz val="12"/>
        <color indexed="8"/>
        <rFont val="Arial"/>
        <family val="2"/>
      </rPr>
      <t>+i</t>
    </r>
    <r>
      <rPr>
        <vertAlign val="subscript"/>
        <sz val="12"/>
        <color indexed="8"/>
        <rFont val="Arial"/>
        <family val="2"/>
      </rPr>
      <t>Charge_PO4</t>
    </r>
    <r>
      <rPr>
        <i/>
        <sz val="12"/>
        <color indexed="8"/>
        <rFont val="Arial"/>
        <family val="2"/>
      </rPr>
      <t>*v</t>
    </r>
    <r>
      <rPr>
        <vertAlign val="subscript"/>
        <sz val="12"/>
        <color indexed="8"/>
        <rFont val="Arial"/>
        <family val="2"/>
      </rPr>
      <t>6_SPO4</t>
    </r>
    <r>
      <rPr>
        <i/>
        <sz val="12"/>
        <color indexed="8"/>
        <rFont val="Arial"/>
        <family val="2"/>
      </rPr>
      <t>+i</t>
    </r>
    <r>
      <rPr>
        <vertAlign val="subscript"/>
        <sz val="12"/>
        <color indexed="8"/>
        <rFont val="Arial"/>
        <family val="2"/>
      </rPr>
      <t>Charge_NOx</t>
    </r>
    <r>
      <rPr>
        <i/>
        <sz val="12"/>
        <color indexed="8"/>
        <rFont val="Arial"/>
        <family val="2"/>
      </rPr>
      <t>*v</t>
    </r>
    <r>
      <rPr>
        <vertAlign val="subscript"/>
        <sz val="12"/>
        <color indexed="8"/>
        <rFont val="Arial"/>
        <family val="2"/>
      </rPr>
      <t>6_SNOx</t>
    </r>
  </si>
  <si>
    <r>
      <t>(1-</t>
    </r>
    <r>
      <rPr>
        <i/>
        <sz val="12"/>
        <color indexed="8"/>
        <rFont val="Arial"/>
        <family val="2"/>
      </rPr>
      <t>Y</t>
    </r>
    <r>
      <rPr>
        <vertAlign val="subscript"/>
        <sz val="12"/>
        <color indexed="8"/>
        <rFont val="Arial"/>
        <family val="2"/>
      </rPr>
      <t>OHO</t>
    </r>
    <r>
      <rPr>
        <sz val="11"/>
        <color indexed="8"/>
        <rFont val="Arial"/>
        <family val="2"/>
      </rPr>
      <t>)/(</t>
    </r>
    <r>
      <rPr>
        <i/>
        <sz val="12"/>
        <color indexed="8"/>
        <rFont val="Arial"/>
        <family val="2"/>
      </rPr>
      <t>i</t>
    </r>
    <r>
      <rPr>
        <vertAlign val="subscript"/>
        <sz val="12"/>
        <color indexed="8"/>
        <rFont val="Arial"/>
        <family val="2"/>
      </rPr>
      <t>NOx,N2</t>
    </r>
    <r>
      <rPr>
        <sz val="11"/>
        <color indexed="8"/>
        <rFont val="Arial"/>
        <family val="2"/>
      </rPr>
      <t>*</t>
    </r>
    <r>
      <rPr>
        <i/>
        <sz val="12"/>
        <color indexed="8"/>
        <rFont val="Arial"/>
        <family val="2"/>
      </rPr>
      <t>Y</t>
    </r>
    <r>
      <rPr>
        <vertAlign val="subscript"/>
        <sz val="12"/>
        <color indexed="8"/>
        <rFont val="Arial"/>
        <family val="2"/>
      </rPr>
      <t>OHO</t>
    </r>
    <r>
      <rPr>
        <sz val="11"/>
        <color indexed="8"/>
        <rFont val="Arial"/>
        <family val="2"/>
      </rPr>
      <t>)</t>
    </r>
  </si>
  <si>
    <r>
      <t>μ</t>
    </r>
    <r>
      <rPr>
        <vertAlign val="subscript"/>
        <sz val="12"/>
        <color indexed="8"/>
        <rFont val="Arial"/>
        <family val="2"/>
      </rPr>
      <t>OHO,Max</t>
    </r>
    <r>
      <rPr>
        <sz val="12"/>
        <color indexed="8"/>
        <rFont val="Arial"/>
        <family val="2"/>
      </rPr>
      <t>*</t>
    </r>
    <r>
      <rPr>
        <i/>
        <sz val="12"/>
        <color indexed="8"/>
        <rFont val="Arial"/>
        <family val="2"/>
      </rPr>
      <t>n</t>
    </r>
    <r>
      <rPr>
        <vertAlign val="subscript"/>
        <sz val="12"/>
        <color indexed="8"/>
        <rFont val="Arial"/>
        <family val="2"/>
      </rPr>
      <t>μOHO,Ax</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SF,OHO</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PO4,OHO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K</t>
    </r>
    <r>
      <rPr>
        <vertAlign val="subscript"/>
        <sz val="12"/>
        <color indexed="8"/>
        <rFont val="Arial"/>
        <family val="2"/>
      </rPr>
      <t>Alk,OHO</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X</t>
    </r>
    <r>
      <rPr>
        <vertAlign val="subscript"/>
        <sz val="12"/>
        <color indexed="8"/>
        <rFont val="Arial"/>
        <family val="2"/>
      </rPr>
      <t>OHO</t>
    </r>
  </si>
  <si>
    <r>
      <t>N content of X</t>
    </r>
    <r>
      <rPr>
        <vertAlign val="subscript"/>
        <sz val="10"/>
        <rFont val="Arial"/>
        <family val="2"/>
      </rPr>
      <t>U</t>
    </r>
  </si>
  <si>
    <r>
      <t>g N.g X</t>
    </r>
    <r>
      <rPr>
        <vertAlign val="subscript"/>
        <sz val="8"/>
        <rFont val="Arial"/>
        <family val="2"/>
      </rPr>
      <t>U</t>
    </r>
    <r>
      <rPr>
        <vertAlign val="superscript"/>
        <sz val="10"/>
        <rFont val="Arial"/>
        <family val="2"/>
      </rPr>
      <t>-1</t>
    </r>
  </si>
  <si>
    <r>
      <t>i</t>
    </r>
    <r>
      <rPr>
        <vertAlign val="subscript"/>
        <sz val="12"/>
        <color indexed="8"/>
        <rFont val="Arial"/>
        <family val="2"/>
      </rPr>
      <t>Charge_NHx</t>
    </r>
    <r>
      <rPr>
        <i/>
        <sz val="12"/>
        <color indexed="8"/>
        <rFont val="Arial"/>
        <family val="2"/>
      </rPr>
      <t>*v</t>
    </r>
    <r>
      <rPr>
        <vertAlign val="subscript"/>
        <sz val="12"/>
        <color indexed="8"/>
        <rFont val="Arial"/>
        <family val="2"/>
      </rPr>
      <t>7_SNHx</t>
    </r>
    <r>
      <rPr>
        <i/>
        <sz val="12"/>
        <color indexed="8"/>
        <rFont val="Arial"/>
        <family val="2"/>
      </rPr>
      <t>+i</t>
    </r>
    <r>
      <rPr>
        <vertAlign val="subscript"/>
        <sz val="12"/>
        <color indexed="8"/>
        <rFont val="Arial"/>
        <family val="2"/>
      </rPr>
      <t>Charge_PO4</t>
    </r>
    <r>
      <rPr>
        <i/>
        <sz val="12"/>
        <color indexed="8"/>
        <rFont val="Arial"/>
        <family val="2"/>
      </rPr>
      <t>*v</t>
    </r>
    <r>
      <rPr>
        <vertAlign val="subscript"/>
        <sz val="12"/>
        <color indexed="8"/>
        <rFont val="Arial"/>
        <family val="2"/>
      </rPr>
      <t>7_SPO4</t>
    </r>
    <r>
      <rPr>
        <i/>
        <sz val="12"/>
        <color indexed="8"/>
        <rFont val="Arial"/>
        <family val="2"/>
      </rPr>
      <t>+i</t>
    </r>
    <r>
      <rPr>
        <vertAlign val="subscript"/>
        <sz val="12"/>
        <color indexed="8"/>
        <rFont val="Arial"/>
        <family val="2"/>
      </rPr>
      <t>Charge_NOx</t>
    </r>
    <r>
      <rPr>
        <i/>
        <sz val="12"/>
        <color indexed="8"/>
        <rFont val="Arial"/>
        <family val="2"/>
      </rPr>
      <t>*v</t>
    </r>
    <r>
      <rPr>
        <vertAlign val="subscript"/>
        <sz val="12"/>
        <color indexed="8"/>
        <rFont val="Arial"/>
        <family val="2"/>
      </rPr>
      <t>7_SNOx</t>
    </r>
    <r>
      <rPr>
        <i/>
        <sz val="12"/>
        <color indexed="8"/>
        <rFont val="Arial"/>
        <family val="2"/>
      </rPr>
      <t>+i</t>
    </r>
    <r>
      <rPr>
        <vertAlign val="subscript"/>
        <sz val="12"/>
        <color indexed="8"/>
        <rFont val="Arial"/>
        <family val="2"/>
      </rPr>
      <t>Charge_Ac</t>
    </r>
    <r>
      <rPr>
        <i/>
        <sz val="12"/>
        <color indexed="8"/>
        <rFont val="Arial"/>
        <family val="2"/>
      </rPr>
      <t>*v</t>
    </r>
    <r>
      <rPr>
        <vertAlign val="subscript"/>
        <sz val="12"/>
        <color indexed="8"/>
        <rFont val="Arial"/>
        <family val="2"/>
      </rPr>
      <t>7_SAc</t>
    </r>
  </si>
  <si>
    <r>
      <t>(1-</t>
    </r>
    <r>
      <rPr>
        <i/>
        <sz val="12"/>
        <color indexed="57"/>
        <rFont val="Arial"/>
        <family val="2"/>
      </rPr>
      <t>Y</t>
    </r>
    <r>
      <rPr>
        <vertAlign val="subscript"/>
        <sz val="12"/>
        <color indexed="57"/>
        <rFont val="Arial"/>
        <family val="2"/>
      </rPr>
      <t>OHO</t>
    </r>
    <r>
      <rPr>
        <sz val="11"/>
        <color indexed="57"/>
        <rFont val="Arial"/>
        <family val="2"/>
      </rPr>
      <t>)/(</t>
    </r>
    <r>
      <rPr>
        <i/>
        <sz val="12"/>
        <color indexed="57"/>
        <rFont val="Arial"/>
        <family val="2"/>
      </rPr>
      <t>i</t>
    </r>
    <r>
      <rPr>
        <vertAlign val="subscript"/>
        <sz val="12"/>
        <color indexed="57"/>
        <rFont val="Arial"/>
        <family val="2"/>
      </rPr>
      <t>NOx,N2</t>
    </r>
    <r>
      <rPr>
        <sz val="11"/>
        <color indexed="57"/>
        <rFont val="Arial"/>
        <family val="2"/>
      </rPr>
      <t>*</t>
    </r>
    <r>
      <rPr>
        <i/>
        <sz val="12"/>
        <color indexed="57"/>
        <rFont val="Arial"/>
        <family val="2"/>
      </rPr>
      <t>Y</t>
    </r>
    <r>
      <rPr>
        <vertAlign val="subscript"/>
        <sz val="12"/>
        <color indexed="57"/>
        <rFont val="Arial"/>
        <family val="2"/>
      </rPr>
      <t>OHO</t>
    </r>
    <r>
      <rPr>
        <sz val="11"/>
        <color indexed="57"/>
        <rFont val="Arial"/>
        <family val="2"/>
      </rPr>
      <t>)</t>
    </r>
  </si>
  <si>
    <r>
      <t>μ</t>
    </r>
    <r>
      <rPr>
        <vertAlign val="subscript"/>
        <sz val="12"/>
        <color indexed="8"/>
        <rFont val="Arial"/>
        <family val="2"/>
      </rPr>
      <t>OHO,Max</t>
    </r>
    <r>
      <rPr>
        <sz val="12"/>
        <color indexed="8"/>
        <rFont val="Arial"/>
        <family val="2"/>
      </rPr>
      <t>*</t>
    </r>
    <r>
      <rPr>
        <i/>
        <sz val="12"/>
        <color indexed="8"/>
        <rFont val="Arial"/>
        <family val="2"/>
      </rPr>
      <t>n</t>
    </r>
    <r>
      <rPr>
        <vertAlign val="subscript"/>
        <sz val="12"/>
        <color indexed="8"/>
        <rFont val="Arial"/>
        <family val="2"/>
      </rPr>
      <t>μOHO,Ax</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K</t>
    </r>
    <r>
      <rPr>
        <vertAlign val="subscript"/>
        <sz val="12"/>
        <color indexed="8"/>
        <rFont val="Arial"/>
        <family val="2"/>
      </rPr>
      <t>Ac,OHO</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Ac</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NHx,OHO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PO4,OHO</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K</t>
    </r>
    <r>
      <rPr>
        <vertAlign val="subscript"/>
        <sz val="12"/>
        <color indexed="8"/>
        <rFont val="Arial"/>
        <family val="2"/>
      </rPr>
      <t>Alk,OHO</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X</t>
    </r>
    <r>
      <rPr>
        <vertAlign val="subscript"/>
        <sz val="12"/>
        <color indexed="8"/>
        <rFont val="Arial"/>
        <family val="2"/>
      </rPr>
      <t>OHO</t>
    </r>
  </si>
  <si>
    <r>
      <t>N content of X</t>
    </r>
    <r>
      <rPr>
        <vertAlign val="subscript"/>
        <sz val="10"/>
        <rFont val="Arial"/>
        <family val="2"/>
      </rPr>
      <t>B</t>
    </r>
  </si>
  <si>
    <r>
      <t>g N.g XC</t>
    </r>
    <r>
      <rPr>
        <vertAlign val="subscript"/>
        <sz val="8"/>
        <rFont val="Arial"/>
        <family val="2"/>
      </rPr>
      <t>B</t>
    </r>
    <r>
      <rPr>
        <vertAlign val="superscript"/>
        <sz val="10"/>
        <rFont val="Arial"/>
        <family val="2"/>
      </rPr>
      <t>-1</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</si>
  <si>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8_SNHx</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v</t>
    </r>
    <r>
      <rPr>
        <vertAlign val="subscript"/>
        <sz val="12"/>
        <color indexed="8"/>
        <rFont val="Arial"/>
        <family val="2"/>
      </rPr>
      <t>8_SPO4</t>
    </r>
    <r>
      <rPr>
        <sz val="11"/>
        <color indexed="8"/>
        <rFont val="Arial"/>
        <family val="2"/>
      </rPr>
      <t>+</t>
    </r>
    <r>
      <rPr>
        <i/>
        <sz val="12"/>
        <color indexed="8"/>
        <rFont val="Arial"/>
        <family val="2"/>
      </rPr>
      <t>i</t>
    </r>
    <r>
      <rPr>
        <vertAlign val="subscript"/>
        <sz val="12"/>
        <color indexed="8"/>
        <rFont val="Arial"/>
        <family val="2"/>
      </rPr>
      <t>Charge_SAc</t>
    </r>
  </si>
  <si>
    <r>
      <t>q</t>
    </r>
    <r>
      <rPr>
        <vertAlign val="subscript"/>
        <sz val="12"/>
        <color indexed="8"/>
        <rFont val="Arial"/>
        <family val="2"/>
      </rPr>
      <t>SF_Ac,Max</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K</t>
    </r>
    <r>
      <rPr>
        <vertAlign val="subscript"/>
        <sz val="12"/>
        <color indexed="8"/>
        <rFont val="Arial"/>
        <family val="2"/>
      </rPr>
      <t>O2,OHO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K</t>
    </r>
    <r>
      <rPr>
        <vertAlign val="subscript"/>
        <sz val="12"/>
        <color indexed="8"/>
        <rFont val="Arial"/>
        <family val="2"/>
      </rPr>
      <t>NOx,OHO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K</t>
    </r>
    <r>
      <rPr>
        <vertAlign val="subscript"/>
        <sz val="12"/>
        <color indexed="8"/>
        <rFont val="Arial"/>
        <family val="2"/>
      </rPr>
      <t>SF,fe</t>
    </r>
    <r>
      <rPr>
        <sz val="12"/>
        <color indexed="8"/>
        <rFont val="Arial"/>
        <family val="2"/>
      </rPr>
      <t>+</t>
    </r>
    <r>
      <rPr>
        <i/>
        <sz val="12"/>
        <color indexed="8"/>
        <rFont val="Arial"/>
        <family val="2"/>
      </rPr>
      <t>S</t>
    </r>
    <r>
      <rPr>
        <vertAlign val="subscript"/>
        <sz val="12"/>
        <color indexed="8"/>
        <rFont val="Arial"/>
        <family val="2"/>
      </rPr>
      <t>F</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K</t>
    </r>
    <r>
      <rPr>
        <vertAlign val="subscript"/>
        <sz val="12"/>
        <color indexed="8"/>
        <rFont val="Arial"/>
        <family val="2"/>
      </rPr>
      <t>Alk,OHO</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X</t>
    </r>
    <r>
      <rPr>
        <vertAlign val="subscript"/>
        <sz val="12"/>
        <color indexed="8"/>
        <rFont val="Arial"/>
        <family val="2"/>
      </rPr>
      <t>OHO</t>
    </r>
  </si>
  <si>
    <r>
      <t>N content of biomass (X</t>
    </r>
    <r>
      <rPr>
        <vertAlign val="subscript"/>
        <sz val="10"/>
        <rFont val="Arial"/>
        <family val="2"/>
      </rPr>
      <t>OHO</t>
    </r>
    <r>
      <rPr>
        <sz val="10"/>
        <rFont val="Arial"/>
        <family val="2"/>
      </rPr>
      <t>, X</t>
    </r>
    <r>
      <rPr>
        <vertAlign val="subscript"/>
        <sz val="10"/>
        <rFont val="Arial"/>
        <family val="2"/>
      </rPr>
      <t>PAO</t>
    </r>
    <r>
      <rPr>
        <sz val="10"/>
        <rFont val="Arial"/>
        <family val="2"/>
      </rPr>
      <t>, X</t>
    </r>
    <r>
      <rPr>
        <vertAlign val="subscript"/>
        <sz val="10"/>
        <rFont val="Arial"/>
        <family val="2"/>
      </rPr>
      <t>ANO</t>
    </r>
    <r>
      <rPr>
        <sz val="10"/>
        <rFont val="Arial"/>
        <family val="2"/>
      </rPr>
      <t>)</t>
    </r>
  </si>
  <si>
    <r>
      <t>-(</t>
    </r>
    <r>
      <rPr>
        <i/>
        <sz val="12"/>
        <color indexed="8"/>
        <rFont val="Arial"/>
        <family val="2"/>
      </rPr>
      <t>f</t>
    </r>
    <r>
      <rPr>
        <vertAlign val="subscript"/>
        <sz val="12"/>
        <color indexed="8"/>
        <rFont val="Arial"/>
        <family val="2"/>
      </rPr>
      <t>XU_Bio,lys</t>
    </r>
    <r>
      <rPr>
        <sz val="11"/>
        <color indexed="8"/>
        <rFont val="Arial"/>
        <family val="2"/>
      </rPr>
      <t>*</t>
    </r>
    <r>
      <rPr>
        <i/>
        <sz val="12"/>
        <color indexed="8"/>
        <rFont val="Arial"/>
        <family val="2"/>
      </rPr>
      <t>i</t>
    </r>
    <r>
      <rPr>
        <vertAlign val="subscript"/>
        <sz val="12"/>
        <color indexed="8"/>
        <rFont val="Arial"/>
        <family val="2"/>
      </rPr>
      <t>N_XU</t>
    </r>
    <r>
      <rPr>
        <sz val="11"/>
        <color indexed="8"/>
        <rFont val="Arial"/>
        <family val="2"/>
      </rPr>
      <t>+(1-</t>
    </r>
    <r>
      <rPr>
        <i/>
        <sz val="12"/>
        <color indexed="8"/>
        <rFont val="Arial"/>
        <family val="2"/>
      </rPr>
      <t>f</t>
    </r>
    <r>
      <rPr>
        <vertAlign val="subscript"/>
        <sz val="12"/>
        <color indexed="8"/>
        <rFont val="Arial"/>
        <family val="2"/>
      </rPr>
      <t>XU_Bio,lys</t>
    </r>
    <r>
      <rPr>
        <sz val="11"/>
        <color indexed="8"/>
        <rFont val="Arial"/>
        <family val="2"/>
      </rPr>
      <t>)*</t>
    </r>
    <r>
      <rPr>
        <i/>
        <sz val="12"/>
        <color indexed="8"/>
        <rFont val="Arial"/>
        <family val="2"/>
      </rPr>
      <t>i</t>
    </r>
    <r>
      <rPr>
        <vertAlign val="subscript"/>
        <sz val="12"/>
        <color indexed="8"/>
        <rFont val="Arial"/>
        <family val="2"/>
      </rPr>
      <t>N_XB</t>
    </r>
    <r>
      <rPr>
        <sz val="11"/>
        <color indexed="8"/>
        <rFont val="Arial"/>
        <family val="2"/>
      </rPr>
      <t>-</t>
    </r>
    <r>
      <rPr>
        <i/>
        <sz val="12"/>
        <color indexed="8"/>
        <rFont val="Arial"/>
        <family val="2"/>
      </rPr>
      <t>i</t>
    </r>
    <r>
      <rPr>
        <vertAlign val="subscript"/>
        <sz val="12"/>
        <color indexed="8"/>
        <rFont val="Arial"/>
        <family val="2"/>
      </rPr>
      <t>N_XBio</t>
    </r>
    <r>
      <rPr>
        <sz val="11"/>
        <color indexed="8"/>
        <rFont val="Arial"/>
        <family val="2"/>
      </rPr>
      <t>)</t>
    </r>
  </si>
  <si>
    <r>
      <t>-(</t>
    </r>
    <r>
      <rPr>
        <i/>
        <sz val="12"/>
        <color indexed="8"/>
        <rFont val="Arial"/>
        <family val="2"/>
      </rPr>
      <t>i</t>
    </r>
    <r>
      <rPr>
        <vertAlign val="subscript"/>
        <sz val="12"/>
        <color indexed="8"/>
        <rFont val="Arial"/>
        <family val="2"/>
      </rPr>
      <t>P_XU</t>
    </r>
    <r>
      <rPr>
        <sz val="11"/>
        <color indexed="8"/>
        <rFont val="Arial"/>
        <family val="2"/>
      </rPr>
      <t>*</t>
    </r>
    <r>
      <rPr>
        <i/>
        <sz val="12"/>
        <color indexed="8"/>
        <rFont val="Arial"/>
        <family val="2"/>
      </rPr>
      <t>f</t>
    </r>
    <r>
      <rPr>
        <vertAlign val="subscript"/>
        <sz val="12"/>
        <color indexed="8"/>
        <rFont val="Arial"/>
        <family val="2"/>
      </rPr>
      <t>XU_Bio,lys</t>
    </r>
    <r>
      <rPr>
        <sz val="11"/>
        <color indexed="8"/>
        <rFont val="Arial"/>
        <family val="2"/>
      </rPr>
      <t>+(1-</t>
    </r>
    <r>
      <rPr>
        <i/>
        <sz val="12"/>
        <color indexed="8"/>
        <rFont val="Arial"/>
        <family val="2"/>
      </rPr>
      <t>f</t>
    </r>
    <r>
      <rPr>
        <vertAlign val="subscript"/>
        <sz val="12"/>
        <color indexed="8"/>
        <rFont val="Arial"/>
        <family val="2"/>
      </rPr>
      <t>XU_Bio,lys</t>
    </r>
    <r>
      <rPr>
        <sz val="11"/>
        <color indexed="8"/>
        <rFont val="Arial"/>
        <family val="2"/>
      </rPr>
      <t>)*</t>
    </r>
    <r>
      <rPr>
        <i/>
        <sz val="12"/>
        <color indexed="8"/>
        <rFont val="Arial"/>
        <family val="2"/>
      </rPr>
      <t>i</t>
    </r>
    <r>
      <rPr>
        <vertAlign val="subscript"/>
        <sz val="12"/>
        <color indexed="8"/>
        <rFont val="Arial"/>
        <family val="2"/>
      </rPr>
      <t>P_XB</t>
    </r>
    <r>
      <rPr>
        <sz val="11"/>
        <color indexed="8"/>
        <rFont val="Arial"/>
        <family val="2"/>
      </rPr>
      <t>-</t>
    </r>
    <r>
      <rPr>
        <i/>
        <sz val="12"/>
        <color indexed="8"/>
        <rFont val="Arial"/>
        <family val="2"/>
      </rPr>
      <t>i</t>
    </r>
    <r>
      <rPr>
        <vertAlign val="subscript"/>
        <sz val="12"/>
        <color indexed="8"/>
        <rFont val="Arial"/>
        <family val="2"/>
      </rPr>
      <t>P_XBio</t>
    </r>
    <r>
      <rPr>
        <sz val="11"/>
        <color indexed="8"/>
        <rFont val="Arial"/>
        <family val="2"/>
      </rPr>
      <t>)</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</si>
  <si>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9_SNHx</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v</t>
    </r>
    <r>
      <rPr>
        <vertAlign val="subscript"/>
        <sz val="12"/>
        <color indexed="8"/>
        <rFont val="Arial"/>
        <family val="2"/>
      </rPr>
      <t>9_SPO4</t>
    </r>
  </si>
  <si>
    <r>
      <t>1-</t>
    </r>
    <r>
      <rPr>
        <i/>
        <sz val="12"/>
        <color indexed="8"/>
        <rFont val="Arial"/>
        <family val="2"/>
      </rPr>
      <t>f</t>
    </r>
    <r>
      <rPr>
        <vertAlign val="subscript"/>
        <sz val="12"/>
        <color indexed="8"/>
        <rFont val="Arial"/>
        <family val="2"/>
      </rPr>
      <t>XU_Bio,lys</t>
    </r>
  </si>
  <si>
    <r>
      <t>f</t>
    </r>
    <r>
      <rPr>
        <vertAlign val="subscript"/>
        <sz val="12"/>
        <color indexed="8"/>
        <rFont val="Arial"/>
        <family val="2"/>
      </rPr>
      <t>XU_Bio,lys</t>
    </r>
    <r>
      <rPr>
        <i/>
        <sz val="12"/>
        <color indexed="8"/>
        <rFont val="Arial"/>
        <family val="2"/>
      </rPr>
      <t>*i</t>
    </r>
    <r>
      <rPr>
        <vertAlign val="subscript"/>
        <sz val="12"/>
        <color indexed="8"/>
        <rFont val="Arial"/>
        <family val="2"/>
      </rPr>
      <t>TSS_XU</t>
    </r>
    <r>
      <rPr>
        <i/>
        <sz val="12"/>
        <color indexed="8"/>
        <rFont val="Arial"/>
        <family val="2"/>
      </rPr>
      <t>+(1-f</t>
    </r>
    <r>
      <rPr>
        <vertAlign val="subscript"/>
        <sz val="12"/>
        <color indexed="8"/>
        <rFont val="Arial"/>
        <family val="2"/>
      </rPr>
      <t>XU_Bio,lys</t>
    </r>
    <r>
      <rPr>
        <i/>
        <sz val="12"/>
        <color indexed="8"/>
        <rFont val="Arial"/>
        <family val="2"/>
      </rPr>
      <t>)*i</t>
    </r>
    <r>
      <rPr>
        <vertAlign val="subscript"/>
        <sz val="12"/>
        <color indexed="8"/>
        <rFont val="Arial"/>
        <family val="2"/>
      </rPr>
      <t>TSS_XB</t>
    </r>
    <r>
      <rPr>
        <i/>
        <sz val="12"/>
        <color indexed="8"/>
        <rFont val="Arial"/>
        <family val="2"/>
      </rPr>
      <t>-i</t>
    </r>
    <r>
      <rPr>
        <vertAlign val="subscript"/>
        <sz val="12"/>
        <color indexed="8"/>
        <rFont val="Arial"/>
        <family val="2"/>
      </rPr>
      <t>TSS_XBio</t>
    </r>
  </si>
  <si>
    <r>
      <t>b</t>
    </r>
    <r>
      <rPr>
        <vertAlign val="subscript"/>
        <sz val="12"/>
        <color indexed="8"/>
        <rFont val="Arial"/>
        <family val="2"/>
      </rPr>
      <t>OHO</t>
    </r>
    <r>
      <rPr>
        <sz val="11"/>
        <color indexed="8"/>
        <rFont val="Arial"/>
        <family val="2"/>
      </rPr>
      <t>*</t>
    </r>
    <r>
      <rPr>
        <i/>
        <sz val="12"/>
        <color indexed="8"/>
        <rFont val="Arial"/>
        <family val="2"/>
      </rPr>
      <t>X</t>
    </r>
    <r>
      <rPr>
        <vertAlign val="subscript"/>
        <sz val="12"/>
        <color indexed="8"/>
        <rFont val="Arial"/>
        <family val="2"/>
      </rPr>
      <t>OHO</t>
    </r>
  </si>
  <si>
    <r>
      <t>P content of S</t>
    </r>
    <r>
      <rPr>
        <vertAlign val="subscript"/>
        <sz val="10"/>
        <rFont val="Arial"/>
        <family val="2"/>
      </rPr>
      <t>F</t>
    </r>
  </si>
  <si>
    <r>
      <t>g P.g S</t>
    </r>
    <r>
      <rPr>
        <vertAlign val="subscript"/>
        <sz val="8"/>
        <rFont val="Arial"/>
        <family val="2"/>
      </rPr>
      <t>F</t>
    </r>
    <r>
      <rPr>
        <vertAlign val="superscript"/>
        <sz val="10"/>
        <rFont val="Arial"/>
        <family val="2"/>
      </rPr>
      <t>-1</t>
    </r>
  </si>
  <si>
    <r>
      <t>-</t>
    </r>
    <r>
      <rPr>
        <i/>
        <sz val="12"/>
        <color indexed="8"/>
        <rFont val="Arial"/>
        <family val="2"/>
      </rPr>
      <t>i</t>
    </r>
    <r>
      <rPr>
        <vertAlign val="subscript"/>
        <sz val="12"/>
        <color indexed="8"/>
        <rFont val="Arial"/>
        <family val="2"/>
      </rPr>
      <t>Charge_Ac</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Y</t>
    </r>
    <r>
      <rPr>
        <vertAlign val="subscript"/>
        <sz val="12"/>
        <color indexed="8"/>
        <rFont val="Arial"/>
        <family val="2"/>
      </rPr>
      <t>PP_PHA,PAO</t>
    </r>
    <r>
      <rPr>
        <sz val="11"/>
        <color indexed="8"/>
        <rFont val="Arial"/>
        <family val="2"/>
      </rPr>
      <t>-</t>
    </r>
    <r>
      <rPr>
        <i/>
        <sz val="12"/>
        <color indexed="8"/>
        <rFont val="Arial"/>
        <family val="2"/>
      </rPr>
      <t>i</t>
    </r>
    <r>
      <rPr>
        <vertAlign val="subscript"/>
        <sz val="12"/>
        <color indexed="8"/>
        <rFont val="Arial"/>
        <family val="2"/>
      </rPr>
      <t>Charge_XPAO,PP</t>
    </r>
    <r>
      <rPr>
        <sz val="11"/>
        <color indexed="8"/>
        <rFont val="Arial"/>
        <family val="2"/>
      </rPr>
      <t>*</t>
    </r>
    <r>
      <rPr>
        <i/>
        <sz val="12"/>
        <color indexed="8"/>
        <rFont val="Arial"/>
        <family val="2"/>
      </rPr>
      <t>Y</t>
    </r>
    <r>
      <rPr>
        <vertAlign val="subscript"/>
        <sz val="12"/>
        <color indexed="8"/>
        <rFont val="Arial"/>
        <family val="2"/>
      </rPr>
      <t>PP_PHA,PAO</t>
    </r>
  </si>
  <si>
    <r>
      <t>-</t>
    </r>
    <r>
      <rPr>
        <i/>
        <sz val="12"/>
        <color indexed="8"/>
        <rFont val="Arial"/>
        <family val="2"/>
      </rPr>
      <t>Y</t>
    </r>
    <r>
      <rPr>
        <vertAlign val="subscript"/>
        <sz val="12"/>
        <color indexed="8"/>
        <rFont val="Arial"/>
        <family val="2"/>
      </rPr>
      <t>PP_PHA,PAO</t>
    </r>
  </si>
  <si>
    <r>
      <t>-</t>
    </r>
    <r>
      <rPr>
        <i/>
        <sz val="12"/>
        <color indexed="8"/>
        <rFont val="Arial"/>
        <family val="2"/>
      </rPr>
      <t>Y</t>
    </r>
    <r>
      <rPr>
        <vertAlign val="subscript"/>
        <sz val="12"/>
        <color indexed="8"/>
        <rFont val="Arial"/>
        <family val="2"/>
      </rPr>
      <t>PP_PHA,PAO</t>
    </r>
    <r>
      <rPr>
        <sz val="11"/>
        <color indexed="8"/>
        <rFont val="Arial"/>
        <family val="2"/>
      </rPr>
      <t>*</t>
    </r>
    <r>
      <rPr>
        <i/>
        <sz val="12"/>
        <color indexed="8"/>
        <rFont val="Arial"/>
        <family val="2"/>
      </rPr>
      <t>i</t>
    </r>
    <r>
      <rPr>
        <vertAlign val="subscript"/>
        <sz val="12"/>
        <color indexed="8"/>
        <rFont val="Arial"/>
        <family val="2"/>
      </rPr>
      <t>TSS_XPAO,PP</t>
    </r>
    <r>
      <rPr>
        <sz val="11"/>
        <color indexed="8"/>
        <rFont val="Arial"/>
        <family val="2"/>
      </rPr>
      <t>+</t>
    </r>
    <r>
      <rPr>
        <i/>
        <sz val="12"/>
        <color indexed="8"/>
        <rFont val="Arial"/>
        <family val="2"/>
      </rPr>
      <t>i</t>
    </r>
    <r>
      <rPr>
        <vertAlign val="subscript"/>
        <sz val="12"/>
        <color indexed="8"/>
        <rFont val="Arial"/>
        <family val="2"/>
      </rPr>
      <t>TSS_XPAO,PHA</t>
    </r>
  </si>
  <si>
    <r>
      <t>q</t>
    </r>
    <r>
      <rPr>
        <vertAlign val="subscript"/>
        <sz val="12"/>
        <color indexed="8"/>
        <rFont val="Arial"/>
        <family val="2"/>
      </rPr>
      <t>PAO,Ac_PHA</t>
    </r>
    <r>
      <rPr>
        <sz val="11"/>
        <color indexed="8"/>
        <rFont val="Arial"/>
        <family val="2"/>
      </rPr>
      <t>*[</t>
    </r>
    <r>
      <rPr>
        <i/>
        <sz val="12"/>
        <color indexed="8"/>
        <rFont val="Arial"/>
        <family val="2"/>
      </rPr>
      <t>S</t>
    </r>
    <r>
      <rPr>
        <vertAlign val="subscript"/>
        <sz val="12"/>
        <color indexed="8"/>
        <rFont val="Arial"/>
        <family val="2"/>
      </rPr>
      <t>Ac</t>
    </r>
    <r>
      <rPr>
        <sz val="11"/>
        <color indexed="8"/>
        <rFont val="Arial"/>
        <family val="2"/>
      </rPr>
      <t>/(</t>
    </r>
    <r>
      <rPr>
        <i/>
        <sz val="12"/>
        <color indexed="8"/>
        <rFont val="Arial"/>
        <family val="2"/>
      </rPr>
      <t>K</t>
    </r>
    <r>
      <rPr>
        <vertAlign val="subscript"/>
        <sz val="12"/>
        <color indexed="8"/>
        <rFont val="Arial"/>
        <family val="2"/>
      </rPr>
      <t>Ac,PAO</t>
    </r>
    <r>
      <rPr>
        <sz val="11"/>
        <color indexed="8"/>
        <rFont val="Arial"/>
        <family val="2"/>
      </rPr>
      <t>+</t>
    </r>
    <r>
      <rPr>
        <i/>
        <sz val="12"/>
        <color indexed="8"/>
        <rFont val="Arial"/>
        <family val="2"/>
      </rPr>
      <t>S</t>
    </r>
    <r>
      <rPr>
        <vertAlign val="subscript"/>
        <sz val="12"/>
        <color indexed="8"/>
        <rFont val="Arial"/>
        <family val="2"/>
      </rPr>
      <t>Ac</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K</t>
    </r>
    <r>
      <rPr>
        <vertAlign val="subscript"/>
        <sz val="12"/>
        <color indexed="8"/>
        <rFont val="Arial"/>
        <family val="2"/>
      </rPr>
      <t>Alk,PAO</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PAO,PP</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f</t>
    </r>
    <r>
      <rPr>
        <vertAlign val="subscript"/>
        <sz val="12"/>
        <color indexed="8"/>
        <rFont val="Arial"/>
        <family val="2"/>
      </rPr>
      <t>PP_PAO,Max</t>
    </r>
    <r>
      <rPr>
        <sz val="11"/>
        <color indexed="8"/>
        <rFont val="Arial"/>
        <family val="2"/>
      </rPr>
      <t>+(</t>
    </r>
    <r>
      <rPr>
        <i/>
        <sz val="12"/>
        <color indexed="8"/>
        <rFont val="Arial"/>
        <family val="2"/>
      </rPr>
      <t>X</t>
    </r>
    <r>
      <rPr>
        <vertAlign val="subscript"/>
        <sz val="12"/>
        <color indexed="8"/>
        <rFont val="Arial"/>
        <family val="2"/>
      </rPr>
      <t>PAO,PP</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X</t>
    </r>
    <r>
      <rPr>
        <vertAlign val="subscript"/>
        <sz val="12"/>
        <color indexed="8"/>
        <rFont val="Arial"/>
        <family val="2"/>
      </rPr>
      <t>PAO</t>
    </r>
  </si>
  <si>
    <r>
      <t>P content of S</t>
    </r>
    <r>
      <rPr>
        <vertAlign val="subscript"/>
        <sz val="10"/>
        <rFont val="Arial"/>
        <family val="2"/>
      </rPr>
      <t>U</t>
    </r>
  </si>
  <si>
    <r>
      <t>g P.g S</t>
    </r>
    <r>
      <rPr>
        <vertAlign val="subscript"/>
        <sz val="8"/>
        <rFont val="Arial"/>
        <family val="2"/>
      </rPr>
      <t>U</t>
    </r>
    <r>
      <rPr>
        <vertAlign val="superscript"/>
        <sz val="10"/>
        <rFont val="Arial"/>
        <family val="2"/>
      </rPr>
      <t>-1</t>
    </r>
  </si>
  <si>
    <r>
      <t>-(1/</t>
    </r>
    <r>
      <rPr>
        <i/>
        <sz val="12"/>
        <color indexed="8"/>
        <rFont val="Arial"/>
        <family val="2"/>
      </rPr>
      <t>Y</t>
    </r>
    <r>
      <rPr>
        <vertAlign val="subscript"/>
        <sz val="12"/>
        <color indexed="8"/>
        <rFont val="Arial"/>
        <family val="2"/>
      </rPr>
      <t>PHA_PP</t>
    </r>
    <r>
      <rPr>
        <sz val="11"/>
        <color indexed="8"/>
        <rFont val="Arial"/>
        <family val="2"/>
      </rPr>
      <t>)</t>
    </r>
  </si>
  <si>
    <r>
      <t>i</t>
    </r>
    <r>
      <rPr>
        <vertAlign val="subscript"/>
        <sz val="12"/>
        <color indexed="8"/>
        <rFont val="Arial"/>
        <family val="2"/>
      </rPr>
      <t>TSS_XPAO,PP</t>
    </r>
    <r>
      <rPr>
        <sz val="11"/>
        <color indexed="8"/>
        <rFont val="Arial"/>
        <family val="2"/>
      </rPr>
      <t>-(</t>
    </r>
    <r>
      <rPr>
        <i/>
        <sz val="12"/>
        <color indexed="8"/>
        <rFont val="Arial"/>
        <family val="2"/>
      </rPr>
      <t>1</t>
    </r>
    <r>
      <rPr>
        <vertAlign val="subscript"/>
        <sz val="12"/>
        <color indexed="8"/>
        <rFont val="Arial"/>
        <family val="2"/>
      </rPr>
      <t>/</t>
    </r>
    <r>
      <rPr>
        <i/>
        <sz val="12"/>
        <color indexed="8"/>
        <rFont val="Arial"/>
        <family val="2"/>
      </rPr>
      <t>Y</t>
    </r>
    <r>
      <rPr>
        <vertAlign val="subscript"/>
        <sz val="12"/>
        <color indexed="8"/>
        <rFont val="Arial"/>
        <family val="2"/>
      </rPr>
      <t>PHA_PP)*</t>
    </r>
    <r>
      <rPr>
        <i/>
        <sz val="12"/>
        <color indexed="8"/>
        <rFont val="Arial"/>
        <family val="2"/>
      </rPr>
      <t>i</t>
    </r>
    <r>
      <rPr>
        <vertAlign val="subscript"/>
        <sz val="12"/>
        <color indexed="8"/>
        <rFont val="Arial"/>
        <family val="2"/>
      </rPr>
      <t>TSS_XPAO,PHA</t>
    </r>
  </si>
  <si>
    <r>
      <t>q</t>
    </r>
    <r>
      <rPr>
        <vertAlign val="subscript"/>
        <sz val="12"/>
        <color indexed="8"/>
        <rFont val="Arial"/>
        <family val="2"/>
      </rPr>
      <t>PAO,PO4_PP</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K</t>
    </r>
    <r>
      <rPr>
        <vertAlign val="subscript"/>
        <sz val="12"/>
        <color indexed="8"/>
        <rFont val="Arial"/>
        <family val="2"/>
      </rPr>
      <t>O2,PAO</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K</t>
    </r>
    <r>
      <rPr>
        <vertAlign val="subscript"/>
        <sz val="12"/>
        <color indexed="8"/>
        <rFont val="Arial"/>
        <family val="2"/>
      </rPr>
      <t>PO4,PAO,upt</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K</t>
    </r>
    <r>
      <rPr>
        <vertAlign val="subscript"/>
        <sz val="12"/>
        <color indexed="8"/>
        <rFont val="Arial"/>
        <family val="2"/>
      </rPr>
      <t>Alk,PAO</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PAO,PHA</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K</t>
    </r>
    <r>
      <rPr>
        <vertAlign val="subscript"/>
        <sz val="12"/>
        <color indexed="8"/>
        <rFont val="Arial"/>
        <family val="2"/>
      </rPr>
      <t>fPHA_PAO</t>
    </r>
    <r>
      <rPr>
        <sz val="11"/>
        <color indexed="8"/>
        <rFont val="Arial"/>
        <family val="2"/>
      </rPr>
      <t>+(</t>
    </r>
    <r>
      <rPr>
        <i/>
        <sz val="12"/>
        <color indexed="8"/>
        <rFont val="Arial"/>
        <family val="2"/>
      </rPr>
      <t>X</t>
    </r>
    <r>
      <rPr>
        <vertAlign val="subscript"/>
        <sz val="12"/>
        <color indexed="8"/>
        <rFont val="Arial"/>
        <family val="2"/>
      </rPr>
      <t>PAO,PHA</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K</t>
    </r>
    <r>
      <rPr>
        <vertAlign val="subscript"/>
        <sz val="12"/>
        <color indexed="8"/>
        <rFont val="Arial"/>
        <family val="2"/>
      </rPr>
      <t>Max</t>
    </r>
    <r>
      <rPr>
        <sz val="11"/>
        <color indexed="8"/>
        <rFont val="Arial"/>
        <family val="2"/>
      </rPr>
      <t>-</t>
    </r>
    <r>
      <rPr>
        <i/>
        <sz val="12"/>
        <color indexed="8"/>
        <rFont val="Arial"/>
        <family val="2"/>
      </rPr>
      <t>X</t>
    </r>
    <r>
      <rPr>
        <vertAlign val="subscript"/>
        <sz val="12"/>
        <color indexed="8"/>
        <rFont val="Arial"/>
        <family val="2"/>
      </rPr>
      <t>PAO,PP</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K</t>
    </r>
    <r>
      <rPr>
        <vertAlign val="subscript"/>
        <sz val="12"/>
        <color indexed="8"/>
        <rFont val="Arial"/>
        <family val="2"/>
      </rPr>
      <t>I,fPP_PAO</t>
    </r>
    <r>
      <rPr>
        <sz val="11"/>
        <color indexed="8"/>
        <rFont val="Arial"/>
        <family val="2"/>
      </rPr>
      <t>+</t>
    </r>
    <r>
      <rPr>
        <i/>
        <sz val="12"/>
        <color indexed="8"/>
        <rFont val="Arial"/>
        <family val="2"/>
      </rPr>
      <t>K</t>
    </r>
    <r>
      <rPr>
        <vertAlign val="subscript"/>
        <sz val="12"/>
        <color indexed="8"/>
        <rFont val="Arial"/>
        <family val="2"/>
      </rPr>
      <t>Max</t>
    </r>
    <r>
      <rPr>
        <sz val="11"/>
        <color indexed="8"/>
        <rFont val="Arial"/>
        <family val="2"/>
      </rPr>
      <t>-(</t>
    </r>
    <r>
      <rPr>
        <i/>
        <sz val="12"/>
        <color indexed="8"/>
        <rFont val="Arial"/>
        <family val="2"/>
      </rPr>
      <t>X</t>
    </r>
    <r>
      <rPr>
        <vertAlign val="subscript"/>
        <sz val="12"/>
        <color indexed="8"/>
        <rFont val="Arial"/>
        <family val="2"/>
      </rPr>
      <t>PAO,PP</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X</t>
    </r>
    <r>
      <rPr>
        <vertAlign val="subscript"/>
        <sz val="12"/>
        <color indexed="8"/>
        <rFont val="Arial"/>
        <family val="2"/>
      </rPr>
      <t>PAO</t>
    </r>
  </si>
  <si>
    <r>
      <t>P content of X</t>
    </r>
    <r>
      <rPr>
        <vertAlign val="subscript"/>
        <sz val="10"/>
        <rFont val="Arial"/>
        <family val="2"/>
      </rPr>
      <t>U</t>
    </r>
  </si>
  <si>
    <r>
      <t>g P.g X</t>
    </r>
    <r>
      <rPr>
        <vertAlign val="subscript"/>
        <sz val="8"/>
        <rFont val="Arial"/>
        <family val="2"/>
      </rPr>
      <t>U</t>
    </r>
    <r>
      <rPr>
        <vertAlign val="superscript"/>
        <sz val="10"/>
        <rFont val="Arial"/>
        <family val="2"/>
      </rPr>
      <t>-1</t>
    </r>
  </si>
  <si>
    <r>
      <t>-(1/</t>
    </r>
    <r>
      <rPr>
        <i/>
        <sz val="12"/>
        <color indexed="8"/>
        <rFont val="Arial"/>
        <family val="2"/>
      </rPr>
      <t>Y</t>
    </r>
    <r>
      <rPr>
        <vertAlign val="subscript"/>
        <sz val="12"/>
        <color indexed="8"/>
        <rFont val="Arial"/>
        <family val="2"/>
      </rPr>
      <t>PHA_PP</t>
    </r>
    <r>
      <rPr>
        <sz val="11"/>
        <color indexed="8"/>
        <rFont val="Arial"/>
        <family val="2"/>
      </rPr>
      <t>)*(1/</t>
    </r>
    <r>
      <rPr>
        <i/>
        <sz val="12"/>
        <color indexed="8"/>
        <rFont val="Arial"/>
        <family val="2"/>
      </rPr>
      <t>i</t>
    </r>
    <r>
      <rPr>
        <vertAlign val="subscript"/>
        <sz val="12"/>
        <color indexed="8"/>
        <rFont val="Arial"/>
        <family val="2"/>
      </rPr>
      <t>NOx,N2</t>
    </r>
    <r>
      <rPr>
        <sz val="11"/>
        <color indexed="8"/>
        <rFont val="Arial"/>
        <family val="2"/>
      </rPr>
      <t>)</t>
    </r>
  </si>
  <si>
    <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i</t>
    </r>
    <r>
      <rPr>
        <vertAlign val="subscript"/>
        <sz val="12"/>
        <color indexed="8"/>
        <rFont val="Arial"/>
        <family val="2"/>
      </rPr>
      <t>Charge_NOx</t>
    </r>
    <r>
      <rPr>
        <sz val="11"/>
        <color indexed="8"/>
        <rFont val="Arial"/>
        <family val="2"/>
      </rPr>
      <t>*</t>
    </r>
    <r>
      <rPr>
        <i/>
        <sz val="12"/>
        <color indexed="8"/>
        <rFont val="Arial"/>
        <family val="2"/>
      </rPr>
      <t>v</t>
    </r>
    <r>
      <rPr>
        <vertAlign val="subscript"/>
        <sz val="12"/>
        <color indexed="8"/>
        <rFont val="Arial"/>
        <family val="2"/>
      </rPr>
      <t>12_SNOx</t>
    </r>
    <r>
      <rPr>
        <sz val="11"/>
        <color indexed="8"/>
        <rFont val="Arial"/>
        <family val="2"/>
      </rPr>
      <t>+</t>
    </r>
    <r>
      <rPr>
        <i/>
        <sz val="12"/>
        <color indexed="8"/>
        <rFont val="Arial"/>
        <family val="2"/>
      </rPr>
      <t>i</t>
    </r>
    <r>
      <rPr>
        <vertAlign val="subscript"/>
        <sz val="12"/>
        <color indexed="8"/>
        <rFont val="Arial"/>
        <family val="2"/>
      </rPr>
      <t>Charge_XPAO,PP</t>
    </r>
  </si>
  <si>
    <r>
      <t>(_/</t>
    </r>
    <r>
      <rPr>
        <i/>
        <sz val="12"/>
        <color indexed="8"/>
        <rFont val="Arial"/>
        <family val="2"/>
      </rPr>
      <t>Y</t>
    </r>
    <r>
      <rPr>
        <vertAlign val="subscript"/>
        <sz val="12"/>
        <color indexed="8"/>
        <rFont val="Arial"/>
        <family val="2"/>
      </rPr>
      <t>HA_PP</t>
    </r>
    <r>
      <rPr>
        <sz val="11"/>
        <color indexed="8"/>
        <rFont val="Arial"/>
        <family val="2"/>
      </rPr>
      <t>)*(1/</t>
    </r>
    <r>
      <rPr>
        <i/>
        <sz val="12"/>
        <color indexed="8"/>
        <rFont val="Arial"/>
        <family val="2"/>
      </rPr>
      <t>i</t>
    </r>
    <r>
      <rPr>
        <vertAlign val="subscript"/>
        <sz val="12"/>
        <color indexed="8"/>
        <rFont val="Arial"/>
        <family val="2"/>
      </rPr>
      <t>NOx,N2</t>
    </r>
    <r>
      <rPr>
        <sz val="11"/>
        <color indexed="8"/>
        <rFont val="Arial"/>
        <family val="2"/>
      </rPr>
      <t>)</t>
    </r>
  </si>
  <si>
    <r>
      <t>q</t>
    </r>
    <r>
      <rPr>
        <vertAlign val="subscript"/>
        <sz val="12"/>
        <color indexed="8"/>
        <rFont val="Arial"/>
        <family val="2"/>
      </rPr>
      <t>PAO,PO4_PP</t>
    </r>
    <r>
      <rPr>
        <sz val="12"/>
        <color indexed="8"/>
        <rFont val="Arial"/>
        <family val="2"/>
      </rPr>
      <t>*</t>
    </r>
    <r>
      <rPr>
        <i/>
        <sz val="12"/>
        <color indexed="8"/>
        <rFont val="Arial"/>
        <family val="2"/>
      </rPr>
      <t>n</t>
    </r>
    <r>
      <rPr>
        <vertAlign val="subscript"/>
        <sz val="12"/>
        <color indexed="8"/>
        <rFont val="Arial"/>
        <family val="2"/>
      </rPr>
      <t>μPAO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O2</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PO4,PAO,upt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K</t>
    </r>
    <r>
      <rPr>
        <vertAlign val="subscript"/>
        <sz val="12"/>
        <color indexed="8"/>
        <rFont val="Arial"/>
        <family val="2"/>
      </rPr>
      <t>Alk,PAO</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fPHA_PAO</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Max</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I,fPP_PAO</t>
    </r>
    <r>
      <rPr>
        <sz val="12"/>
        <color indexed="8"/>
        <rFont val="Arial"/>
        <family val="2"/>
      </rPr>
      <t>+</t>
    </r>
    <r>
      <rPr>
        <i/>
        <sz val="12"/>
        <color indexed="8"/>
        <rFont val="Arial"/>
        <family val="2"/>
      </rPr>
      <t>K</t>
    </r>
    <r>
      <rPr>
        <vertAlign val="subscript"/>
        <sz val="12"/>
        <color indexed="8"/>
        <rFont val="Arial"/>
        <family val="2"/>
      </rPr>
      <t>Max</t>
    </r>
    <r>
      <rPr>
        <sz val="12"/>
        <color indexed="8"/>
        <rFont val="Arial"/>
        <family val="2"/>
      </rPr>
      <t>-(</t>
    </r>
    <r>
      <rPr>
        <i/>
        <sz val="12"/>
        <color indexed="8"/>
        <rFont val="Arial"/>
        <family val="2"/>
      </rPr>
      <t>X</t>
    </r>
    <r>
      <rPr>
        <vertAlign val="subscript"/>
        <sz val="12"/>
        <color indexed="8"/>
        <rFont val="Arial"/>
        <family val="2"/>
      </rPr>
      <t>PAO,PP</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</si>
  <si>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P content of X</t>
    </r>
    <r>
      <rPr>
        <vertAlign val="subscript"/>
        <sz val="10"/>
        <rFont val="Arial"/>
        <family val="2"/>
      </rPr>
      <t>B</t>
    </r>
  </si>
  <si>
    <r>
      <t>g P.g X</t>
    </r>
    <r>
      <rPr>
        <vertAlign val="subscript"/>
        <sz val="8"/>
        <rFont val="Arial"/>
        <family val="2"/>
      </rPr>
      <t>B</t>
    </r>
    <r>
      <rPr>
        <vertAlign val="superscript"/>
        <sz val="10"/>
        <rFont val="Arial"/>
        <family val="2"/>
      </rPr>
      <t>-1</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</si>
  <si>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13_SNHx</t>
    </r>
    <r>
      <rPr>
        <sz val="11"/>
        <color indexed="8"/>
        <rFont val="Arial"/>
        <family val="2"/>
      </rPr>
      <t>-</t>
    </r>
    <r>
      <rPr>
        <i/>
        <sz val="12"/>
        <color indexed="8"/>
        <rFont val="Arial"/>
        <family val="2"/>
      </rPr>
      <t>i</t>
    </r>
    <r>
      <rPr>
        <vertAlign val="subscript"/>
        <sz val="12"/>
        <color indexed="8"/>
        <rFont val="Arial"/>
        <family val="2"/>
      </rPr>
      <t>P_XBio</t>
    </r>
    <r>
      <rPr>
        <sz val="11"/>
        <color indexed="8"/>
        <rFont val="Arial"/>
        <family val="2"/>
      </rPr>
      <t>*</t>
    </r>
    <r>
      <rPr>
        <i/>
        <sz val="12"/>
        <color indexed="8"/>
        <rFont val="Arial"/>
        <family val="2"/>
      </rPr>
      <t>i</t>
    </r>
    <r>
      <rPr>
        <vertAlign val="subscript"/>
        <sz val="12"/>
        <color indexed="8"/>
        <rFont val="Arial"/>
        <family val="2"/>
      </rPr>
      <t>Charge_PO4</t>
    </r>
  </si>
  <si>
    <r>
      <t>i</t>
    </r>
    <r>
      <rPr>
        <vertAlign val="subscript"/>
        <sz val="12"/>
        <color indexed="8"/>
        <rFont val="Arial"/>
        <family val="2"/>
      </rPr>
      <t>TSS_XBio</t>
    </r>
    <r>
      <rPr>
        <sz val="11"/>
        <color indexed="8"/>
        <rFont val="Arial"/>
        <family val="2"/>
      </rPr>
      <t>-1/</t>
    </r>
    <r>
      <rPr>
        <i/>
        <sz val="12"/>
        <color indexed="8"/>
        <rFont val="Arial"/>
        <family val="2"/>
      </rPr>
      <t>Y</t>
    </r>
    <r>
      <rPr>
        <vertAlign val="subscript"/>
        <sz val="12"/>
        <color indexed="8"/>
        <rFont val="Arial"/>
        <family val="2"/>
      </rPr>
      <t>PAO</t>
    </r>
    <r>
      <rPr>
        <sz val="11"/>
        <color indexed="8"/>
        <rFont val="Arial"/>
        <family val="2"/>
      </rPr>
      <t>*</t>
    </r>
    <r>
      <rPr>
        <i/>
        <sz val="12"/>
        <color indexed="8"/>
        <rFont val="Arial"/>
        <family val="2"/>
      </rPr>
      <t>i</t>
    </r>
    <r>
      <rPr>
        <vertAlign val="subscript"/>
        <sz val="12"/>
        <color indexed="8"/>
        <rFont val="Arial"/>
        <family val="2"/>
      </rPr>
      <t>TSS_XPAO,PHA</t>
    </r>
  </si>
  <si>
    <r>
      <t>μ</t>
    </r>
    <r>
      <rPr>
        <vertAlign val="subscript"/>
        <sz val="12"/>
        <color indexed="8"/>
        <rFont val="Arial"/>
        <family val="2"/>
      </rPr>
      <t>PAO,Max</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K</t>
    </r>
    <r>
      <rPr>
        <vertAlign val="subscript"/>
        <sz val="12"/>
        <color indexed="8"/>
        <rFont val="Arial"/>
        <family val="2"/>
      </rPr>
      <t>O2,PAO</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S</t>
    </r>
    <r>
      <rPr>
        <vertAlign val="subscript"/>
        <sz val="12"/>
        <color indexed="8"/>
        <rFont val="Arial"/>
        <family val="2"/>
      </rPr>
      <t>NHx</t>
    </r>
    <r>
      <rPr>
        <sz val="11"/>
        <color indexed="8"/>
        <rFont val="Arial"/>
        <family val="2"/>
      </rPr>
      <t>/(</t>
    </r>
    <r>
      <rPr>
        <i/>
        <sz val="12"/>
        <color indexed="8"/>
        <rFont val="Arial"/>
        <family val="2"/>
      </rPr>
      <t>K</t>
    </r>
    <r>
      <rPr>
        <vertAlign val="subscript"/>
        <sz val="12"/>
        <color indexed="8"/>
        <rFont val="Arial"/>
        <family val="2"/>
      </rPr>
      <t>NHx,PAO</t>
    </r>
    <r>
      <rPr>
        <sz val="11"/>
        <color indexed="8"/>
        <rFont val="Arial"/>
        <family val="2"/>
      </rPr>
      <t>+</t>
    </r>
    <r>
      <rPr>
        <i/>
        <sz val="12"/>
        <color indexed="8"/>
        <rFont val="Arial"/>
        <family val="2"/>
      </rPr>
      <t>S</t>
    </r>
    <r>
      <rPr>
        <vertAlign val="subscript"/>
        <sz val="12"/>
        <color indexed="8"/>
        <rFont val="Arial"/>
        <family val="2"/>
      </rPr>
      <t>NHx</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K</t>
    </r>
    <r>
      <rPr>
        <vertAlign val="subscript"/>
        <sz val="12"/>
        <color indexed="8"/>
        <rFont val="Arial"/>
        <family val="2"/>
      </rPr>
      <t>PO4,PAO,nut</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K</t>
    </r>
    <r>
      <rPr>
        <vertAlign val="subscript"/>
        <sz val="12"/>
        <color indexed="8"/>
        <rFont val="Arial"/>
        <family val="2"/>
      </rPr>
      <t>Alk,PAO</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PAO,PHA</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K</t>
    </r>
    <r>
      <rPr>
        <vertAlign val="subscript"/>
        <sz val="12"/>
        <color indexed="8"/>
        <rFont val="Arial"/>
        <family val="2"/>
      </rPr>
      <t>fPHA_PAO</t>
    </r>
    <r>
      <rPr>
        <sz val="11"/>
        <color indexed="8"/>
        <rFont val="Arial"/>
        <family val="2"/>
      </rPr>
      <t>+(</t>
    </r>
    <r>
      <rPr>
        <i/>
        <sz val="12"/>
        <color indexed="8"/>
        <rFont val="Arial"/>
        <family val="2"/>
      </rPr>
      <t>X</t>
    </r>
    <r>
      <rPr>
        <vertAlign val="subscript"/>
        <sz val="12"/>
        <color indexed="8"/>
        <rFont val="Arial"/>
        <family val="2"/>
      </rPr>
      <t>PAO,PHA</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X</t>
    </r>
    <r>
      <rPr>
        <vertAlign val="subscript"/>
        <sz val="12"/>
        <color indexed="8"/>
        <rFont val="Arial"/>
        <family val="2"/>
      </rPr>
      <t>PAO</t>
    </r>
  </si>
  <si>
    <r>
      <t>P content of biomass (X</t>
    </r>
    <r>
      <rPr>
        <vertAlign val="subscript"/>
        <sz val="10"/>
        <rFont val="Arial"/>
        <family val="2"/>
      </rPr>
      <t>OHO</t>
    </r>
    <r>
      <rPr>
        <sz val="10"/>
        <rFont val="Arial"/>
        <family val="2"/>
      </rPr>
      <t>, X</t>
    </r>
    <r>
      <rPr>
        <vertAlign val="subscript"/>
        <sz val="10"/>
        <rFont val="Arial"/>
        <family val="2"/>
      </rPr>
      <t>PAO</t>
    </r>
    <r>
      <rPr>
        <sz val="10"/>
        <rFont val="Arial"/>
        <family val="2"/>
      </rPr>
      <t>, X</t>
    </r>
    <r>
      <rPr>
        <vertAlign val="subscript"/>
        <sz val="10"/>
        <rFont val="Arial"/>
        <family val="2"/>
      </rPr>
      <t>ANO</t>
    </r>
    <r>
      <rPr>
        <sz val="10"/>
        <rFont val="Arial"/>
        <family val="2"/>
      </rPr>
      <t>)</t>
    </r>
  </si>
  <si>
    <r>
      <t>g P.g X</t>
    </r>
    <r>
      <rPr>
        <vertAlign val="subscript"/>
        <sz val="8"/>
        <rFont val="Arial"/>
        <family val="2"/>
      </rPr>
      <t>Bio</t>
    </r>
    <r>
      <rPr>
        <vertAlign val="superscript"/>
        <sz val="10"/>
        <rFont val="Arial"/>
        <family val="2"/>
      </rPr>
      <t>-1</t>
    </r>
  </si>
  <si>
    <r>
      <t>i</t>
    </r>
    <r>
      <rPr>
        <vertAlign val="subscript"/>
        <sz val="12"/>
        <color indexed="8"/>
        <rFont val="Arial"/>
        <family val="2"/>
      </rPr>
      <t>Charge_NHx</t>
    </r>
    <r>
      <rPr>
        <i/>
        <sz val="12"/>
        <color indexed="8"/>
        <rFont val="Arial"/>
        <family val="2"/>
      </rPr>
      <t>*v</t>
    </r>
    <r>
      <rPr>
        <vertAlign val="subscript"/>
        <sz val="12"/>
        <color indexed="8"/>
        <rFont val="Arial"/>
        <family val="2"/>
      </rPr>
      <t>14_SNHx</t>
    </r>
    <r>
      <rPr>
        <i/>
        <sz val="12"/>
        <color indexed="8"/>
        <rFont val="Arial"/>
        <family val="2"/>
      </rPr>
      <t>+i</t>
    </r>
    <r>
      <rPr>
        <vertAlign val="subscript"/>
        <sz val="12"/>
        <color indexed="8"/>
        <rFont val="Arial"/>
        <family val="2"/>
      </rPr>
      <t>Charge_NOx</t>
    </r>
    <r>
      <rPr>
        <i/>
        <sz val="12"/>
        <color indexed="8"/>
        <rFont val="Arial"/>
        <family val="2"/>
      </rPr>
      <t>*v</t>
    </r>
    <r>
      <rPr>
        <vertAlign val="subscript"/>
        <sz val="12"/>
        <color indexed="8"/>
        <rFont val="Arial"/>
        <family val="2"/>
      </rPr>
      <t>14_SNOx</t>
    </r>
    <r>
      <rPr>
        <i/>
        <sz val="12"/>
        <color indexed="8"/>
        <rFont val="Arial"/>
        <family val="2"/>
      </rPr>
      <t>-i</t>
    </r>
    <r>
      <rPr>
        <vertAlign val="subscript"/>
        <sz val="12"/>
        <color indexed="8"/>
        <rFont val="Arial"/>
        <family val="2"/>
      </rPr>
      <t>P_XBio</t>
    </r>
    <r>
      <rPr>
        <i/>
        <sz val="12"/>
        <color indexed="8"/>
        <rFont val="Arial"/>
        <family val="2"/>
      </rPr>
      <t>*i</t>
    </r>
    <r>
      <rPr>
        <vertAlign val="subscript"/>
        <sz val="12"/>
        <color indexed="8"/>
        <rFont val="Arial"/>
        <family val="2"/>
      </rPr>
      <t>Charge_PO4</t>
    </r>
  </si>
  <si>
    <r>
      <t>μ</t>
    </r>
    <r>
      <rPr>
        <vertAlign val="subscript"/>
        <sz val="12"/>
        <color indexed="8"/>
        <rFont val="Arial"/>
        <family val="2"/>
      </rPr>
      <t>PAO,Max</t>
    </r>
    <r>
      <rPr>
        <sz val="12"/>
        <color indexed="8"/>
        <rFont val="Arial"/>
        <family val="2"/>
      </rPr>
      <t>*</t>
    </r>
    <r>
      <rPr>
        <i/>
        <sz val="12"/>
        <color indexed="8"/>
        <rFont val="Arial"/>
        <family val="2"/>
      </rPr>
      <t>n</t>
    </r>
    <r>
      <rPr>
        <vertAlign val="subscript"/>
        <sz val="12"/>
        <color indexed="8"/>
        <rFont val="Arial"/>
        <family val="2"/>
      </rPr>
      <t>μPAO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K</t>
    </r>
    <r>
      <rPr>
        <vertAlign val="subscript"/>
        <sz val="12"/>
        <color indexed="8"/>
        <rFont val="Arial"/>
        <family val="2"/>
      </rPr>
      <t>O2,PAO</t>
    </r>
    <r>
      <rPr>
        <sz val="12"/>
        <color indexed="8"/>
        <rFont val="Arial"/>
        <family val="2"/>
      </rPr>
      <t>+</t>
    </r>
    <r>
      <rPr>
        <i/>
        <sz val="12"/>
        <color indexed="8"/>
        <rFont val="Arial"/>
        <family val="2"/>
      </rPr>
      <t>S</t>
    </r>
    <r>
      <rPr>
        <vertAlign val="subscript"/>
        <sz val="12"/>
        <color indexed="8"/>
        <rFont val="Arial"/>
        <family val="2"/>
      </rPr>
      <t>O2</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K</t>
    </r>
    <r>
      <rPr>
        <vertAlign val="subscript"/>
        <sz val="12"/>
        <color indexed="8"/>
        <rFont val="Arial"/>
        <family val="2"/>
      </rPr>
      <t>NOx,PAO</t>
    </r>
    <r>
      <rPr>
        <sz val="12"/>
        <color indexed="8"/>
        <rFont val="Arial"/>
        <family val="2"/>
      </rPr>
      <t>+</t>
    </r>
    <r>
      <rPr>
        <i/>
        <sz val="12"/>
        <color indexed="8"/>
        <rFont val="Arial"/>
        <family val="2"/>
      </rPr>
      <t>S</t>
    </r>
    <r>
      <rPr>
        <vertAlign val="subscript"/>
        <sz val="12"/>
        <color indexed="8"/>
        <rFont val="Arial"/>
        <family val="2"/>
      </rPr>
      <t>NOx</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K</t>
    </r>
    <r>
      <rPr>
        <vertAlign val="subscript"/>
        <sz val="12"/>
        <color indexed="8"/>
        <rFont val="Arial"/>
        <family val="2"/>
      </rPr>
      <t>NHx,PAO</t>
    </r>
    <r>
      <rPr>
        <sz val="12"/>
        <color indexed="8"/>
        <rFont val="Arial"/>
        <family val="2"/>
      </rPr>
      <t>+</t>
    </r>
    <r>
      <rPr>
        <i/>
        <sz val="12"/>
        <color indexed="8"/>
        <rFont val="Arial"/>
        <family val="2"/>
      </rPr>
      <t>S</t>
    </r>
    <r>
      <rPr>
        <vertAlign val="subscript"/>
        <sz val="12"/>
        <color indexed="8"/>
        <rFont val="Arial"/>
        <family val="2"/>
      </rPr>
      <t>NHx</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K</t>
    </r>
    <r>
      <rPr>
        <vertAlign val="subscript"/>
        <sz val="12"/>
        <color indexed="8"/>
        <rFont val="Arial"/>
        <family val="2"/>
      </rPr>
      <t>PO4,PAO,nut</t>
    </r>
    <r>
      <rPr>
        <sz val="12"/>
        <color indexed="8"/>
        <rFont val="Arial"/>
        <family val="2"/>
      </rPr>
      <t>+</t>
    </r>
    <r>
      <rPr>
        <i/>
        <sz val="12"/>
        <color indexed="8"/>
        <rFont val="Arial"/>
        <family val="2"/>
      </rPr>
      <t>S</t>
    </r>
    <r>
      <rPr>
        <vertAlign val="subscript"/>
        <sz val="12"/>
        <color indexed="8"/>
        <rFont val="Arial"/>
        <family val="2"/>
      </rPr>
      <t>PO4</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K</t>
    </r>
    <r>
      <rPr>
        <vertAlign val="subscript"/>
        <sz val="12"/>
        <color indexed="8"/>
        <rFont val="Arial"/>
        <family val="2"/>
      </rPr>
      <t>Alk,PAO</t>
    </r>
    <r>
      <rPr>
        <sz val="12"/>
        <color indexed="8"/>
        <rFont val="Arial"/>
        <family val="2"/>
      </rPr>
      <t>+</t>
    </r>
    <r>
      <rPr>
        <i/>
        <sz val="12"/>
        <color indexed="8"/>
        <rFont val="Arial"/>
        <family val="2"/>
      </rPr>
      <t>S</t>
    </r>
    <r>
      <rPr>
        <vertAlign val="subscript"/>
        <sz val="12"/>
        <color indexed="8"/>
        <rFont val="Arial"/>
        <family val="2"/>
      </rPr>
      <t>Alk</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K</t>
    </r>
    <r>
      <rPr>
        <vertAlign val="subscript"/>
        <sz val="12"/>
        <color indexed="8"/>
        <rFont val="Arial"/>
        <family val="2"/>
      </rPr>
      <t>fPHA_PAO</t>
    </r>
    <r>
      <rPr>
        <sz val="12"/>
        <color indexed="8"/>
        <rFont val="Arial"/>
        <family val="2"/>
      </rPr>
      <t>+(</t>
    </r>
    <r>
      <rPr>
        <i/>
        <sz val="12"/>
        <color indexed="8"/>
        <rFont val="Arial"/>
        <family val="2"/>
      </rPr>
      <t>X</t>
    </r>
    <r>
      <rPr>
        <vertAlign val="subscript"/>
        <sz val="12"/>
        <color indexed="8"/>
        <rFont val="Arial"/>
        <family val="2"/>
      </rPr>
      <t>PAO,PHA</t>
    </r>
    <r>
      <rPr>
        <sz val="12"/>
        <color indexed="8"/>
        <rFont val="Arial"/>
        <family val="2"/>
      </rPr>
      <t>/</t>
    </r>
    <r>
      <rPr>
        <i/>
        <sz val="12"/>
        <color indexed="8"/>
        <rFont val="Arial"/>
        <family val="2"/>
      </rPr>
      <t>X</t>
    </r>
    <r>
      <rPr>
        <vertAlign val="subscript"/>
        <sz val="12"/>
        <color indexed="8"/>
        <rFont val="Arial"/>
        <family val="2"/>
      </rPr>
      <t>PAO</t>
    </r>
    <r>
      <rPr>
        <sz val="12"/>
        <color indexed="8"/>
        <rFont val="Arial"/>
        <family val="2"/>
      </rPr>
      <t>))]*</t>
    </r>
    <r>
      <rPr>
        <i/>
        <sz val="12"/>
        <color indexed="8"/>
        <rFont val="Arial"/>
        <family val="2"/>
      </rPr>
      <t>X</t>
    </r>
    <r>
      <rPr>
        <vertAlign val="subscript"/>
        <sz val="12"/>
        <color indexed="8"/>
        <rFont val="Arial"/>
        <family val="2"/>
      </rPr>
      <t>PAO</t>
    </r>
  </si>
  <si>
    <r>
      <t>Conversion factor for X</t>
    </r>
    <r>
      <rPr>
        <vertAlign val="subscript"/>
        <sz val="10"/>
        <rFont val="Arial"/>
        <family val="2"/>
      </rPr>
      <t>MeP</t>
    </r>
    <r>
      <rPr>
        <sz val="10"/>
        <rFont val="Arial"/>
        <family val="2"/>
      </rPr>
      <t xml:space="preserve"> (FePO4) in P</t>
    </r>
  </si>
  <si>
    <r>
      <t>g P.g X</t>
    </r>
    <r>
      <rPr>
        <vertAlign val="subscript"/>
        <sz val="8"/>
        <rFont val="Arial"/>
        <family val="2"/>
      </rPr>
      <t>MeP</t>
    </r>
    <r>
      <rPr>
        <vertAlign val="superscript"/>
        <sz val="10"/>
        <rFont val="Arial"/>
        <family val="2"/>
      </rPr>
      <t>-1</t>
    </r>
  </si>
  <si>
    <r>
      <t>-(</t>
    </r>
    <r>
      <rPr>
        <i/>
        <sz val="12"/>
        <color indexed="8"/>
        <rFont val="Arial"/>
        <family val="2"/>
      </rPr>
      <t>f</t>
    </r>
    <r>
      <rPr>
        <vertAlign val="subscript"/>
        <sz val="12"/>
        <color indexed="8"/>
        <rFont val="Arial"/>
        <family val="2"/>
      </rPr>
      <t>XU_Bio,lys</t>
    </r>
    <r>
      <rPr>
        <sz val="11"/>
        <color indexed="8"/>
        <rFont val="Arial"/>
        <family val="2"/>
      </rPr>
      <t>*</t>
    </r>
    <r>
      <rPr>
        <i/>
        <sz val="12"/>
        <color indexed="8"/>
        <rFont val="Arial"/>
        <family val="2"/>
      </rPr>
      <t>i</t>
    </r>
    <r>
      <rPr>
        <vertAlign val="subscript"/>
        <sz val="12"/>
        <color indexed="8"/>
        <rFont val="Arial"/>
        <family val="2"/>
      </rPr>
      <t>N_XU</t>
    </r>
    <r>
      <rPr>
        <sz val="11"/>
        <color indexed="8"/>
        <rFont val="Arial"/>
        <family val="2"/>
      </rPr>
      <t>+(1-</t>
    </r>
    <r>
      <rPr>
        <i/>
        <sz val="12"/>
        <color indexed="8"/>
        <rFont val="Arial"/>
        <family val="2"/>
      </rPr>
      <t>f</t>
    </r>
    <r>
      <rPr>
        <vertAlign val="subscript"/>
        <sz val="12"/>
        <color indexed="8"/>
        <rFont val="Arial"/>
        <family val="2"/>
      </rPr>
      <t>XU_Bio,lys</t>
    </r>
    <r>
      <rPr>
        <sz val="11"/>
        <color indexed="8"/>
        <rFont val="Arial"/>
        <family val="2"/>
      </rPr>
      <t>)*</t>
    </r>
    <r>
      <rPr>
        <i/>
        <sz val="12"/>
        <color indexed="8"/>
        <rFont val="Arial"/>
        <family val="2"/>
      </rPr>
      <t>i</t>
    </r>
    <r>
      <rPr>
        <vertAlign val="subscript"/>
        <sz val="12"/>
        <color indexed="8"/>
        <rFont val="Arial"/>
        <family val="2"/>
      </rPr>
      <t>N_XCB</t>
    </r>
    <r>
      <rPr>
        <sz val="11"/>
        <color indexed="8"/>
        <rFont val="Arial"/>
        <family val="2"/>
      </rPr>
      <t>-</t>
    </r>
    <r>
      <rPr>
        <i/>
        <sz val="12"/>
        <color indexed="8"/>
        <rFont val="Arial"/>
        <family val="2"/>
      </rPr>
      <t>i</t>
    </r>
    <r>
      <rPr>
        <vertAlign val="subscript"/>
        <sz val="12"/>
        <color indexed="8"/>
        <rFont val="Arial"/>
        <family val="2"/>
      </rPr>
      <t>N_XBio</t>
    </r>
    <r>
      <rPr>
        <sz val="11"/>
        <color indexed="8"/>
        <rFont val="Arial"/>
        <family val="2"/>
      </rPr>
      <t>)</t>
    </r>
  </si>
  <si>
    <r>
      <t>-(</t>
    </r>
    <r>
      <rPr>
        <i/>
        <sz val="12"/>
        <color indexed="8"/>
        <rFont val="Arial"/>
        <family val="2"/>
      </rPr>
      <t>f</t>
    </r>
    <r>
      <rPr>
        <vertAlign val="subscript"/>
        <sz val="12"/>
        <color indexed="8"/>
        <rFont val="Arial"/>
        <family val="2"/>
      </rPr>
      <t>XU_Bio,lys</t>
    </r>
    <r>
      <rPr>
        <sz val="11"/>
        <color indexed="8"/>
        <rFont val="Arial"/>
        <family val="2"/>
      </rPr>
      <t>*</t>
    </r>
    <r>
      <rPr>
        <i/>
        <sz val="12"/>
        <color indexed="8"/>
        <rFont val="Arial"/>
        <family val="2"/>
      </rPr>
      <t>i</t>
    </r>
    <r>
      <rPr>
        <vertAlign val="subscript"/>
        <sz val="12"/>
        <color indexed="8"/>
        <rFont val="Arial"/>
        <family val="2"/>
      </rPr>
      <t>P_XU</t>
    </r>
    <r>
      <rPr>
        <sz val="11"/>
        <color indexed="8"/>
        <rFont val="Arial"/>
        <family val="2"/>
      </rPr>
      <t>+(1-</t>
    </r>
    <r>
      <rPr>
        <i/>
        <sz val="12"/>
        <color indexed="8"/>
        <rFont val="Arial"/>
        <family val="2"/>
      </rPr>
      <t>f</t>
    </r>
    <r>
      <rPr>
        <vertAlign val="subscript"/>
        <sz val="12"/>
        <color indexed="8"/>
        <rFont val="Arial"/>
        <family val="2"/>
      </rPr>
      <t>XU_Bio,lys</t>
    </r>
    <r>
      <rPr>
        <sz val="11"/>
        <color indexed="8"/>
        <rFont val="Arial"/>
        <family val="2"/>
      </rPr>
      <t>)*</t>
    </r>
    <r>
      <rPr>
        <i/>
        <sz val="12"/>
        <color indexed="8"/>
        <rFont val="Arial"/>
        <family val="2"/>
      </rPr>
      <t>i</t>
    </r>
    <r>
      <rPr>
        <vertAlign val="subscript"/>
        <sz val="12"/>
        <color indexed="8"/>
        <rFont val="Arial"/>
        <family val="2"/>
      </rPr>
      <t>P_XCB</t>
    </r>
    <r>
      <rPr>
        <sz val="11"/>
        <color indexed="8"/>
        <rFont val="Arial"/>
        <family val="2"/>
      </rPr>
      <t>-</t>
    </r>
    <r>
      <rPr>
        <i/>
        <sz val="12"/>
        <color indexed="8"/>
        <rFont val="Arial"/>
        <family val="2"/>
      </rPr>
      <t>i</t>
    </r>
    <r>
      <rPr>
        <vertAlign val="subscript"/>
        <sz val="12"/>
        <color indexed="8"/>
        <rFont val="Arial"/>
        <family val="2"/>
      </rPr>
      <t>P_XBio</t>
    </r>
    <r>
      <rPr>
        <sz val="11"/>
        <color indexed="8"/>
        <rFont val="Arial"/>
        <family val="2"/>
      </rPr>
      <t>)</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</si>
  <si>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15_SNHx</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v</t>
    </r>
    <r>
      <rPr>
        <vertAlign val="subscript"/>
        <sz val="12"/>
        <color indexed="8"/>
        <rFont val="Arial"/>
        <family val="2"/>
      </rPr>
      <t>15_SPO4</t>
    </r>
  </si>
  <si>
    <r>
      <t>f</t>
    </r>
    <r>
      <rPr>
        <vertAlign val="subscript"/>
        <sz val="12"/>
        <color indexed="8"/>
        <rFont val="Arial"/>
        <family val="2"/>
      </rPr>
      <t>XU_Bio,lys</t>
    </r>
    <r>
      <rPr>
        <i/>
        <sz val="12"/>
        <color indexed="8"/>
        <rFont val="Arial"/>
        <family val="2"/>
      </rPr>
      <t>*i</t>
    </r>
    <r>
      <rPr>
        <vertAlign val="subscript"/>
        <sz val="12"/>
        <color indexed="8"/>
        <rFont val="Arial"/>
        <family val="2"/>
      </rPr>
      <t>TSS_XU</t>
    </r>
    <r>
      <rPr>
        <i/>
        <sz val="12"/>
        <color indexed="8"/>
        <rFont val="Arial"/>
        <family val="2"/>
      </rPr>
      <t>+(1-f</t>
    </r>
    <r>
      <rPr>
        <vertAlign val="subscript"/>
        <sz val="12"/>
        <color indexed="8"/>
        <rFont val="Arial"/>
        <family val="2"/>
      </rPr>
      <t>XU_Bio,lys</t>
    </r>
    <r>
      <rPr>
        <i/>
        <sz val="12"/>
        <color indexed="8"/>
        <rFont val="Arial"/>
        <family val="2"/>
      </rPr>
      <t>)*i</t>
    </r>
    <r>
      <rPr>
        <vertAlign val="subscript"/>
        <sz val="12"/>
        <color indexed="8"/>
        <rFont val="Arial"/>
        <family val="2"/>
      </rPr>
      <t>TSS_XCB</t>
    </r>
    <r>
      <rPr>
        <i/>
        <sz val="12"/>
        <color indexed="8"/>
        <rFont val="Arial"/>
        <family val="2"/>
      </rPr>
      <t>-i</t>
    </r>
    <r>
      <rPr>
        <vertAlign val="subscript"/>
        <sz val="12"/>
        <color indexed="8"/>
        <rFont val="Arial"/>
        <family val="2"/>
      </rPr>
      <t>TSS_XBio</t>
    </r>
  </si>
  <si>
    <r>
      <t>m</t>
    </r>
    <r>
      <rPr>
        <vertAlign val="subscript"/>
        <sz val="12"/>
        <color indexed="8"/>
        <rFont val="Arial"/>
        <family val="2"/>
      </rPr>
      <t>PAO</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K</t>
    </r>
    <r>
      <rPr>
        <vertAlign val="subscript"/>
        <sz val="12"/>
        <color indexed="8"/>
        <rFont val="Arial"/>
        <family val="2"/>
      </rPr>
      <t>Alk,PAO</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</si>
  <si>
    <r>
      <t>Conversion factor X</t>
    </r>
    <r>
      <rPr>
        <vertAlign val="subscript"/>
        <sz val="10"/>
        <rFont val="Arial"/>
        <family val="2"/>
      </rPr>
      <t>U</t>
    </r>
    <r>
      <rPr>
        <sz val="10"/>
        <rFont val="Arial"/>
        <family val="2"/>
      </rPr>
      <t xml:space="preserve"> in TSS</t>
    </r>
  </si>
  <si>
    <r>
      <t>g TSS.g X</t>
    </r>
    <r>
      <rPr>
        <vertAlign val="subscript"/>
        <sz val="8"/>
        <rFont val="Arial"/>
        <family val="2"/>
      </rPr>
      <t>U</t>
    </r>
    <r>
      <rPr>
        <vertAlign val="superscript"/>
        <sz val="10"/>
        <rFont val="Arial"/>
        <family val="2"/>
      </rPr>
      <t>-1</t>
    </r>
  </si>
  <si>
    <r>
      <t>i</t>
    </r>
    <r>
      <rPr>
        <vertAlign val="subscript"/>
        <sz val="12"/>
        <color indexed="8"/>
        <rFont val="Arial"/>
        <family val="2"/>
      </rPr>
      <t>Charge_PO4</t>
    </r>
    <r>
      <rPr>
        <i/>
        <sz val="12"/>
        <color indexed="8"/>
        <rFont val="Arial"/>
        <family val="2"/>
      </rPr>
      <t>-i</t>
    </r>
    <r>
      <rPr>
        <vertAlign val="subscript"/>
        <sz val="12"/>
        <color indexed="8"/>
        <rFont val="Arial"/>
        <family val="2"/>
      </rPr>
      <t>Charge_XPAO,PP</t>
    </r>
  </si>
  <si>
    <r>
      <t>-</t>
    </r>
    <r>
      <rPr>
        <i/>
        <sz val="12"/>
        <color indexed="8"/>
        <rFont val="Arial"/>
        <family val="2"/>
      </rPr>
      <t>i</t>
    </r>
    <r>
      <rPr>
        <vertAlign val="subscript"/>
        <sz val="12"/>
        <color indexed="8"/>
        <rFont val="Arial"/>
        <family val="2"/>
      </rPr>
      <t>TSS_XPAO,PP</t>
    </r>
  </si>
  <si>
    <r>
      <t>b</t>
    </r>
    <r>
      <rPr>
        <vertAlign val="subscript"/>
        <sz val="12"/>
        <color indexed="8"/>
        <rFont val="Arial"/>
        <family val="2"/>
      </rPr>
      <t>PP_PO4</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K</t>
    </r>
    <r>
      <rPr>
        <vertAlign val="subscript"/>
        <sz val="12"/>
        <color indexed="8"/>
        <rFont val="Arial"/>
        <family val="2"/>
      </rPr>
      <t>Alk,PAO</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PAO,PP</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X</t>
    </r>
    <r>
      <rPr>
        <vertAlign val="subscript"/>
        <sz val="12"/>
        <color indexed="8"/>
        <rFont val="Arial"/>
        <family val="2"/>
      </rPr>
      <t>PAO</t>
    </r>
  </si>
  <si>
    <r>
      <t>Conversion factor X</t>
    </r>
    <r>
      <rPr>
        <vertAlign val="subscript"/>
        <sz val="10"/>
        <rFont val="Arial"/>
        <family val="2"/>
      </rPr>
      <t>B</t>
    </r>
    <r>
      <rPr>
        <sz val="10"/>
        <rFont val="Arial"/>
        <family val="2"/>
      </rPr>
      <t xml:space="preserve"> in TSS</t>
    </r>
  </si>
  <si>
    <r>
      <t>g TSS.g XC</t>
    </r>
    <r>
      <rPr>
        <vertAlign val="subscript"/>
        <sz val="8"/>
        <rFont val="Arial"/>
        <family val="2"/>
      </rPr>
      <t>B</t>
    </r>
    <r>
      <rPr>
        <vertAlign val="superscript"/>
        <sz val="10"/>
        <rFont val="Arial"/>
        <family val="2"/>
      </rPr>
      <t>-1</t>
    </r>
  </si>
  <si>
    <r>
      <t>-</t>
    </r>
    <r>
      <rPr>
        <i/>
        <sz val="12"/>
        <color indexed="8"/>
        <rFont val="Arial"/>
        <family val="2"/>
      </rPr>
      <t>i</t>
    </r>
    <r>
      <rPr>
        <vertAlign val="subscript"/>
        <sz val="12"/>
        <color indexed="8"/>
        <rFont val="Arial"/>
        <family val="2"/>
      </rPr>
      <t>TSS_XPAO,PHA</t>
    </r>
  </si>
  <si>
    <r>
      <t>b</t>
    </r>
    <r>
      <rPr>
        <vertAlign val="subscript"/>
        <sz val="12"/>
        <color indexed="8"/>
        <rFont val="Arial"/>
        <family val="2"/>
      </rPr>
      <t>PHA_Ac</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K</t>
    </r>
    <r>
      <rPr>
        <vertAlign val="subscript"/>
        <sz val="12"/>
        <color indexed="8"/>
        <rFont val="Arial"/>
        <family val="2"/>
      </rPr>
      <t>Alk,PAO</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PAO,PHA</t>
    </r>
    <r>
      <rPr>
        <sz val="11"/>
        <color indexed="8"/>
        <rFont val="Arial"/>
        <family val="2"/>
      </rPr>
      <t>/</t>
    </r>
    <r>
      <rPr>
        <i/>
        <sz val="12"/>
        <color indexed="8"/>
        <rFont val="Arial"/>
        <family val="2"/>
      </rPr>
      <t>X</t>
    </r>
    <r>
      <rPr>
        <vertAlign val="subscript"/>
        <sz val="12"/>
        <color indexed="8"/>
        <rFont val="Arial"/>
        <family val="2"/>
      </rPr>
      <t>PAO</t>
    </r>
    <r>
      <rPr>
        <sz val="11"/>
        <color indexed="8"/>
        <rFont val="Arial"/>
        <family val="2"/>
      </rPr>
      <t>]*</t>
    </r>
    <r>
      <rPr>
        <i/>
        <sz val="12"/>
        <color indexed="8"/>
        <rFont val="Arial"/>
        <family val="2"/>
      </rPr>
      <t>X</t>
    </r>
    <r>
      <rPr>
        <vertAlign val="subscript"/>
        <sz val="12"/>
        <color indexed="8"/>
        <rFont val="Arial"/>
        <family val="2"/>
      </rPr>
      <t>PAO</t>
    </r>
  </si>
  <si>
    <r>
      <t>Conversion factor X</t>
    </r>
    <r>
      <rPr>
        <vertAlign val="subscript"/>
        <sz val="10"/>
        <rFont val="Arial"/>
        <family val="2"/>
      </rPr>
      <t>PAO,PHA</t>
    </r>
    <r>
      <rPr>
        <sz val="10"/>
        <rFont val="Arial"/>
        <family val="2"/>
      </rPr>
      <t xml:space="preserve"> in TSS</t>
    </r>
  </si>
  <si>
    <r>
      <t>g TSS.g X</t>
    </r>
    <r>
      <rPr>
        <vertAlign val="subscript"/>
        <sz val="8"/>
        <rFont val="Arial"/>
        <family val="2"/>
      </rPr>
      <t>PHA</t>
    </r>
    <r>
      <rPr>
        <vertAlign val="superscript"/>
        <sz val="10"/>
        <rFont val="Arial"/>
        <family val="2"/>
      </rPr>
      <t>-1</t>
    </r>
  </si>
  <si>
    <r>
      <t>-(-</t>
    </r>
    <r>
      <rPr>
        <i/>
        <sz val="12"/>
        <color indexed="8"/>
        <rFont val="Arial"/>
        <family val="2"/>
      </rPr>
      <t>i</t>
    </r>
    <r>
      <rPr>
        <vertAlign val="subscript"/>
        <sz val="12"/>
        <color indexed="8"/>
        <rFont val="Arial"/>
        <family val="2"/>
      </rPr>
      <t>COD_NOx</t>
    </r>
    <r>
      <rPr>
        <sz val="11"/>
        <color indexed="8"/>
        <rFont val="Arial"/>
        <family val="2"/>
      </rPr>
      <t>-</t>
    </r>
    <r>
      <rPr>
        <i/>
        <sz val="12"/>
        <color indexed="8"/>
        <rFont val="Arial"/>
        <family val="2"/>
      </rPr>
      <t>Y</t>
    </r>
    <r>
      <rPr>
        <vertAlign val="subscript"/>
        <sz val="12"/>
        <color indexed="8"/>
        <rFont val="Arial"/>
        <family val="2"/>
      </rPr>
      <t>ANO</t>
    </r>
    <r>
      <rPr>
        <sz val="11"/>
        <color indexed="8"/>
        <rFont val="Arial"/>
        <family val="2"/>
      </rPr>
      <t>)/</t>
    </r>
    <r>
      <rPr>
        <i/>
        <sz val="12"/>
        <color indexed="8"/>
        <rFont val="Arial"/>
        <family val="2"/>
      </rPr>
      <t>Y</t>
    </r>
    <r>
      <rPr>
        <vertAlign val="subscript"/>
        <sz val="12"/>
        <color indexed="8"/>
        <rFont val="Arial"/>
        <family val="2"/>
      </rPr>
      <t>ANO</t>
    </r>
  </si>
  <si>
    <r>
      <t>-</t>
    </r>
    <r>
      <rPr>
        <i/>
        <sz val="12"/>
        <color indexed="8"/>
        <rFont val="Arial"/>
        <family val="2"/>
      </rPr>
      <t>i</t>
    </r>
    <r>
      <rPr>
        <vertAlign val="subscript"/>
        <sz val="12"/>
        <color indexed="8"/>
        <rFont val="Arial"/>
        <family val="2"/>
      </rPr>
      <t>N_XBio</t>
    </r>
    <r>
      <rPr>
        <sz val="11"/>
        <color indexed="8"/>
        <rFont val="Arial"/>
        <family val="2"/>
      </rPr>
      <t>-1/</t>
    </r>
    <r>
      <rPr>
        <i/>
        <sz val="12"/>
        <color indexed="8"/>
        <rFont val="Arial"/>
        <family val="2"/>
      </rPr>
      <t>Y</t>
    </r>
    <r>
      <rPr>
        <vertAlign val="subscript"/>
        <sz val="12"/>
        <color indexed="8"/>
        <rFont val="Arial"/>
        <family val="2"/>
      </rPr>
      <t>ANO</t>
    </r>
  </si>
  <si>
    <r>
      <t>1/</t>
    </r>
    <r>
      <rPr>
        <i/>
        <sz val="12"/>
        <color indexed="8"/>
        <rFont val="Arial"/>
        <family val="2"/>
      </rPr>
      <t>Y</t>
    </r>
    <r>
      <rPr>
        <vertAlign val="subscript"/>
        <sz val="12"/>
        <color indexed="8"/>
        <rFont val="Arial"/>
        <family val="2"/>
      </rPr>
      <t>ANO</t>
    </r>
  </si>
  <si>
    <r>
      <t>(-</t>
    </r>
    <r>
      <rPr>
        <i/>
        <sz val="12"/>
        <color indexed="8"/>
        <rFont val="Arial"/>
        <family val="2"/>
      </rPr>
      <t>i</t>
    </r>
    <r>
      <rPr>
        <vertAlign val="subscript"/>
        <sz val="12"/>
        <color indexed="8"/>
        <rFont val="Arial"/>
        <family val="2"/>
      </rPr>
      <t>N_XBio</t>
    </r>
    <r>
      <rPr>
        <sz val="11"/>
        <color indexed="8"/>
        <rFont val="Arial"/>
        <family val="2"/>
      </rPr>
      <t>-1/</t>
    </r>
    <r>
      <rPr>
        <i/>
        <sz val="12"/>
        <color indexed="8"/>
        <rFont val="Arial"/>
        <family val="2"/>
      </rPr>
      <t>Y</t>
    </r>
    <r>
      <rPr>
        <vertAlign val="subscript"/>
        <sz val="12"/>
        <color indexed="8"/>
        <rFont val="Arial"/>
        <family val="2"/>
      </rPr>
      <t>ANO</t>
    </r>
    <r>
      <rPr>
        <sz val="11"/>
        <color indexed="8"/>
        <rFont val="Arial"/>
        <family val="2"/>
      </rPr>
      <t>)*</t>
    </r>
    <r>
      <rPr>
        <i/>
        <sz val="12"/>
        <color indexed="8"/>
        <rFont val="Arial"/>
        <family val="2"/>
      </rPr>
      <t>i</t>
    </r>
    <r>
      <rPr>
        <vertAlign val="subscript"/>
        <sz val="12"/>
        <color indexed="8"/>
        <rFont val="Arial"/>
        <family val="2"/>
      </rPr>
      <t>Charge_NHx</t>
    </r>
    <r>
      <rPr>
        <sz val="11"/>
        <color indexed="8"/>
        <rFont val="Arial"/>
        <family val="2"/>
      </rPr>
      <t>+1/</t>
    </r>
    <r>
      <rPr>
        <i/>
        <sz val="12"/>
        <color indexed="8"/>
        <rFont val="Arial"/>
        <family val="2"/>
      </rPr>
      <t>Y</t>
    </r>
    <r>
      <rPr>
        <vertAlign val="subscript"/>
        <sz val="12"/>
        <color indexed="8"/>
        <rFont val="Arial"/>
        <family val="2"/>
      </rPr>
      <t>ANO</t>
    </r>
    <r>
      <rPr>
        <sz val="11"/>
        <color indexed="8"/>
        <rFont val="Arial"/>
        <family val="2"/>
      </rPr>
      <t>*</t>
    </r>
    <r>
      <rPr>
        <i/>
        <sz val="12"/>
        <color indexed="8"/>
        <rFont val="Arial"/>
        <family val="2"/>
      </rPr>
      <t>i</t>
    </r>
    <r>
      <rPr>
        <vertAlign val="subscript"/>
        <sz val="12"/>
        <color indexed="8"/>
        <rFont val="Arial"/>
        <family val="2"/>
      </rPr>
      <t>Charge_NOx</t>
    </r>
    <r>
      <rPr>
        <sz val="11"/>
        <color indexed="8"/>
        <rFont val="Arial"/>
        <family val="2"/>
      </rPr>
      <t>-</t>
    </r>
    <r>
      <rPr>
        <i/>
        <sz val="12"/>
        <color indexed="8"/>
        <rFont val="Arial"/>
        <family val="2"/>
      </rPr>
      <t>i</t>
    </r>
    <r>
      <rPr>
        <vertAlign val="subscript"/>
        <sz val="12"/>
        <color indexed="8"/>
        <rFont val="Arial"/>
        <family val="2"/>
      </rPr>
      <t>P_XBio</t>
    </r>
    <r>
      <rPr>
        <sz val="11"/>
        <color indexed="8"/>
        <rFont val="Arial"/>
        <family val="2"/>
      </rPr>
      <t>*</t>
    </r>
    <r>
      <rPr>
        <i/>
        <sz val="12"/>
        <color indexed="8"/>
        <rFont val="Arial"/>
        <family val="2"/>
      </rPr>
      <t>i</t>
    </r>
    <r>
      <rPr>
        <vertAlign val="subscript"/>
        <sz val="12"/>
        <color indexed="8"/>
        <rFont val="Arial"/>
        <family val="2"/>
      </rPr>
      <t>Charge_PO4</t>
    </r>
  </si>
  <si>
    <r>
      <t>μ</t>
    </r>
    <r>
      <rPr>
        <vertAlign val="subscript"/>
        <sz val="12"/>
        <color indexed="8"/>
        <rFont val="Arial"/>
        <family val="2"/>
      </rPr>
      <t>ANO,Max</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K</t>
    </r>
    <r>
      <rPr>
        <vertAlign val="subscript"/>
        <sz val="12"/>
        <color indexed="8"/>
        <rFont val="Arial"/>
        <family val="2"/>
      </rPr>
      <t>O2,ANO</t>
    </r>
    <r>
      <rPr>
        <sz val="11"/>
        <color indexed="8"/>
        <rFont val="Arial"/>
        <family val="2"/>
      </rPr>
      <t>+</t>
    </r>
    <r>
      <rPr>
        <i/>
        <sz val="12"/>
        <color indexed="8"/>
        <rFont val="Arial"/>
        <family val="2"/>
      </rPr>
      <t>S</t>
    </r>
    <r>
      <rPr>
        <vertAlign val="subscript"/>
        <sz val="12"/>
        <color indexed="8"/>
        <rFont val="Arial"/>
        <family val="2"/>
      </rPr>
      <t>O2</t>
    </r>
    <r>
      <rPr>
        <sz val="11"/>
        <color indexed="8"/>
        <rFont val="Arial"/>
        <family val="2"/>
      </rPr>
      <t>)]*[</t>
    </r>
    <r>
      <rPr>
        <i/>
        <sz val="12"/>
        <color indexed="8"/>
        <rFont val="Arial"/>
        <family val="2"/>
      </rPr>
      <t>S</t>
    </r>
    <r>
      <rPr>
        <vertAlign val="subscript"/>
        <sz val="12"/>
        <color indexed="8"/>
        <rFont val="Arial"/>
        <family val="2"/>
      </rPr>
      <t>NHx</t>
    </r>
    <r>
      <rPr>
        <sz val="11"/>
        <color indexed="8"/>
        <rFont val="Arial"/>
        <family val="2"/>
      </rPr>
      <t>/(</t>
    </r>
    <r>
      <rPr>
        <i/>
        <sz val="12"/>
        <color indexed="8"/>
        <rFont val="Arial"/>
        <family val="2"/>
      </rPr>
      <t>K</t>
    </r>
    <r>
      <rPr>
        <vertAlign val="subscript"/>
        <sz val="12"/>
        <color indexed="8"/>
        <rFont val="Arial"/>
        <family val="2"/>
      </rPr>
      <t>NHx,ANO</t>
    </r>
    <r>
      <rPr>
        <sz val="11"/>
        <color indexed="8"/>
        <rFont val="Arial"/>
        <family val="2"/>
      </rPr>
      <t>+</t>
    </r>
    <r>
      <rPr>
        <i/>
        <sz val="12"/>
        <color indexed="8"/>
        <rFont val="Arial"/>
        <family val="2"/>
      </rPr>
      <t>S</t>
    </r>
    <r>
      <rPr>
        <vertAlign val="subscript"/>
        <sz val="12"/>
        <color indexed="8"/>
        <rFont val="Arial"/>
        <family val="2"/>
      </rPr>
      <t>NHx</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K</t>
    </r>
    <r>
      <rPr>
        <vertAlign val="subscript"/>
        <sz val="12"/>
        <color indexed="8"/>
        <rFont val="Arial"/>
        <family val="2"/>
      </rPr>
      <t>PO4,ANO</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K</t>
    </r>
    <r>
      <rPr>
        <vertAlign val="subscript"/>
        <sz val="12"/>
        <color indexed="8"/>
        <rFont val="Arial"/>
        <family val="2"/>
      </rPr>
      <t>Alk,ANO</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X</t>
    </r>
    <r>
      <rPr>
        <vertAlign val="subscript"/>
        <sz val="12"/>
        <color indexed="8"/>
        <rFont val="Arial"/>
        <family val="2"/>
      </rPr>
      <t>ANO</t>
    </r>
  </si>
  <si>
    <r>
      <t>g TSS.g X</t>
    </r>
    <r>
      <rPr>
        <vertAlign val="subscript"/>
        <sz val="8"/>
        <rFont val="Arial"/>
        <family val="2"/>
      </rPr>
      <t>Bio</t>
    </r>
    <r>
      <rPr>
        <vertAlign val="superscript"/>
        <sz val="10"/>
        <rFont val="Arial"/>
        <family val="2"/>
      </rPr>
      <t>-1</t>
    </r>
  </si>
  <si>
    <r>
      <t>i</t>
    </r>
    <r>
      <rPr>
        <vertAlign val="subscript"/>
        <sz val="12"/>
        <color indexed="8"/>
        <rFont val="Arial"/>
        <family val="2"/>
      </rPr>
      <t>Charge_NHx</t>
    </r>
    <r>
      <rPr>
        <sz val="11"/>
        <color indexed="8"/>
        <rFont val="Arial"/>
        <family val="2"/>
      </rPr>
      <t>*</t>
    </r>
    <r>
      <rPr>
        <i/>
        <sz val="12"/>
        <color indexed="8"/>
        <rFont val="Arial"/>
        <family val="2"/>
      </rPr>
      <t>v</t>
    </r>
    <r>
      <rPr>
        <vertAlign val="subscript"/>
        <sz val="12"/>
        <color indexed="8"/>
        <rFont val="Arial"/>
        <family val="2"/>
      </rPr>
      <t>19_SNHx</t>
    </r>
    <r>
      <rPr>
        <sz val="11"/>
        <color indexed="8"/>
        <rFont val="Arial"/>
        <family val="2"/>
      </rPr>
      <t>+</t>
    </r>
    <r>
      <rPr>
        <i/>
        <sz val="12"/>
        <color indexed="8"/>
        <rFont val="Arial"/>
        <family val="2"/>
      </rPr>
      <t>i</t>
    </r>
    <r>
      <rPr>
        <vertAlign val="subscript"/>
        <sz val="12"/>
        <color indexed="8"/>
        <rFont val="Arial"/>
        <family val="2"/>
      </rPr>
      <t>Charge_PO4</t>
    </r>
    <r>
      <rPr>
        <sz val="11"/>
        <color indexed="8"/>
        <rFont val="Arial"/>
        <family val="2"/>
      </rPr>
      <t>*</t>
    </r>
    <r>
      <rPr>
        <i/>
        <sz val="12"/>
        <color indexed="8"/>
        <rFont val="Arial"/>
        <family val="2"/>
      </rPr>
      <t>v</t>
    </r>
    <r>
      <rPr>
        <vertAlign val="subscript"/>
        <sz val="12"/>
        <color indexed="8"/>
        <rFont val="Arial"/>
        <family val="2"/>
      </rPr>
      <t>19_SPO4</t>
    </r>
  </si>
  <si>
    <r>
      <t>b</t>
    </r>
    <r>
      <rPr>
        <vertAlign val="subscript"/>
        <sz val="12"/>
        <color indexed="8"/>
        <rFont val="Arial"/>
        <family val="2"/>
      </rPr>
      <t>ANO</t>
    </r>
    <r>
      <rPr>
        <sz val="11"/>
        <color indexed="8"/>
        <rFont val="Arial"/>
        <family val="2"/>
      </rPr>
      <t>*</t>
    </r>
    <r>
      <rPr>
        <i/>
        <sz val="12"/>
        <color indexed="8"/>
        <rFont val="Arial"/>
        <family val="2"/>
      </rPr>
      <t>X</t>
    </r>
    <r>
      <rPr>
        <vertAlign val="subscript"/>
        <sz val="12"/>
        <color indexed="8"/>
        <rFont val="Arial"/>
        <family val="2"/>
      </rPr>
      <t>ANO</t>
    </r>
  </si>
  <si>
    <r>
      <t>Conversion factor X</t>
    </r>
    <r>
      <rPr>
        <vertAlign val="subscript"/>
        <sz val="10"/>
        <rFont val="Arial"/>
        <family val="2"/>
      </rPr>
      <t>PAO,PP</t>
    </r>
    <r>
      <rPr>
        <sz val="10"/>
        <rFont val="Arial"/>
        <family val="2"/>
      </rPr>
      <t xml:space="preserve"> in TSS</t>
    </r>
  </si>
  <si>
    <r>
      <t>g TSS.g X</t>
    </r>
    <r>
      <rPr>
        <vertAlign val="subscript"/>
        <sz val="8"/>
        <rFont val="Arial"/>
        <family val="2"/>
      </rPr>
      <t>PP</t>
    </r>
    <r>
      <rPr>
        <vertAlign val="superscript"/>
        <sz val="10"/>
        <rFont val="Arial"/>
        <family val="2"/>
      </rPr>
      <t>-1</t>
    </r>
  </si>
  <si>
    <r>
      <t>q</t>
    </r>
    <r>
      <rPr>
        <vertAlign val="subscript"/>
        <sz val="12"/>
        <color indexed="8"/>
        <rFont val="Arial"/>
        <family val="2"/>
      </rPr>
      <t>P,pre</t>
    </r>
    <r>
      <rPr>
        <sz val="11"/>
        <color indexed="8"/>
        <rFont val="Arial"/>
        <family val="2"/>
      </rPr>
      <t>*</t>
    </r>
    <r>
      <rPr>
        <i/>
        <sz val="12"/>
        <color indexed="8"/>
        <rFont val="Arial"/>
        <family val="2"/>
      </rPr>
      <t>S</t>
    </r>
    <r>
      <rPr>
        <vertAlign val="subscript"/>
        <sz val="12"/>
        <color indexed="8"/>
        <rFont val="Arial"/>
        <family val="2"/>
      </rPr>
      <t>PO4</t>
    </r>
    <r>
      <rPr>
        <sz val="11"/>
        <color indexed="8"/>
        <rFont val="Arial"/>
        <family val="2"/>
      </rPr>
      <t>*</t>
    </r>
    <r>
      <rPr>
        <i/>
        <sz val="12"/>
        <color indexed="8"/>
        <rFont val="Arial"/>
        <family val="2"/>
      </rPr>
      <t>X</t>
    </r>
    <r>
      <rPr>
        <vertAlign val="subscript"/>
        <sz val="12"/>
        <color indexed="8"/>
        <rFont val="Arial"/>
        <family val="2"/>
      </rPr>
      <t>MeOH</t>
    </r>
  </si>
  <si>
    <r>
      <t>q</t>
    </r>
    <r>
      <rPr>
        <vertAlign val="subscript"/>
        <sz val="12"/>
        <color indexed="8"/>
        <rFont val="Arial"/>
        <family val="2"/>
      </rPr>
      <t>P,red</t>
    </r>
    <r>
      <rPr>
        <sz val="11"/>
        <color indexed="8"/>
        <rFont val="Arial"/>
        <family val="2"/>
      </rPr>
      <t>*</t>
    </r>
    <r>
      <rPr>
        <i/>
        <sz val="12"/>
        <color indexed="8"/>
        <rFont val="Arial"/>
        <family val="2"/>
      </rPr>
      <t>X</t>
    </r>
    <r>
      <rPr>
        <vertAlign val="subscript"/>
        <sz val="12"/>
        <color indexed="8"/>
        <rFont val="Arial"/>
        <family val="2"/>
      </rPr>
      <t>MeP</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r>
      <rPr>
        <i/>
        <sz val="12"/>
        <color indexed="8"/>
        <rFont val="Arial"/>
        <family val="2"/>
      </rPr>
      <t>K</t>
    </r>
    <r>
      <rPr>
        <vertAlign val="subscript"/>
        <sz val="12"/>
        <color indexed="8"/>
        <rFont val="Arial"/>
        <family val="2"/>
      </rPr>
      <t>Alk,pre</t>
    </r>
    <r>
      <rPr>
        <sz val="11"/>
        <color indexed="8"/>
        <rFont val="Arial"/>
        <family val="2"/>
      </rPr>
      <t>+</t>
    </r>
    <r>
      <rPr>
        <i/>
        <sz val="12"/>
        <color indexed="8"/>
        <rFont val="Arial"/>
        <family val="2"/>
      </rPr>
      <t>S</t>
    </r>
    <r>
      <rPr>
        <vertAlign val="subscript"/>
        <sz val="12"/>
        <color indexed="8"/>
        <rFont val="Arial"/>
        <family val="2"/>
      </rPr>
      <t>Alk</t>
    </r>
    <r>
      <rPr>
        <sz val="11"/>
        <color indexed="8"/>
        <rFont val="Arial"/>
        <family val="2"/>
      </rPr>
      <t>)]</t>
    </r>
  </si>
  <si>
    <r>
      <t>Half saturation parameter for XC</t>
    </r>
    <r>
      <rPr>
        <vertAlign val="subscript"/>
        <sz val="10"/>
        <rFont val="Arial"/>
        <family val="2"/>
      </rPr>
      <t>B</t>
    </r>
    <r>
      <rPr>
        <sz val="10"/>
        <rFont val="Arial"/>
        <family val="2"/>
      </rPr>
      <t>/X</t>
    </r>
    <r>
      <rPr>
        <vertAlign val="subscript"/>
        <sz val="10"/>
        <rFont val="Arial"/>
        <family val="2"/>
      </rPr>
      <t>OHO</t>
    </r>
  </si>
  <si>
    <r>
      <t>η</t>
    </r>
    <r>
      <rPr>
        <vertAlign val="subscript"/>
        <sz val="12"/>
        <color indexed="57"/>
        <rFont val="Arial"/>
        <family val="2"/>
      </rPr>
      <t>NO3,HYD</t>
    </r>
  </si>
  <si>
    <r>
      <t>Half saturation/inhibition parameter for S</t>
    </r>
    <r>
      <rPr>
        <vertAlign val="subscript"/>
        <sz val="10"/>
        <rFont val="Arial"/>
        <family val="2"/>
      </rPr>
      <t>O2</t>
    </r>
  </si>
  <si>
    <r>
      <t>K</t>
    </r>
    <r>
      <rPr>
        <vertAlign val="subscript"/>
        <sz val="12"/>
        <color indexed="57"/>
        <rFont val="Arial"/>
        <family val="2"/>
      </rPr>
      <t>O2,HYD</t>
    </r>
  </si>
  <si>
    <r>
      <t>Half saturation/inhibition parameter for S</t>
    </r>
    <r>
      <rPr>
        <vertAlign val="subscript"/>
        <sz val="10"/>
        <rFont val="Arial"/>
        <family val="2"/>
      </rPr>
      <t>NOx</t>
    </r>
  </si>
  <si>
    <r>
      <t>K</t>
    </r>
    <r>
      <rPr>
        <vertAlign val="subscript"/>
        <sz val="12"/>
        <color indexed="57"/>
        <rFont val="Arial"/>
        <family val="2"/>
      </rPr>
      <t>NO3,HYD</t>
    </r>
  </si>
  <si>
    <r>
      <t>g N.m</t>
    </r>
    <r>
      <rPr>
        <vertAlign val="superscript"/>
        <sz val="10"/>
        <rFont val="Arial"/>
        <family val="2"/>
      </rPr>
      <t>-3</t>
    </r>
  </si>
  <si>
    <r>
      <t>Maximum growth rate of X</t>
    </r>
    <r>
      <rPr>
        <vertAlign val="subscript"/>
        <sz val="10"/>
        <rFont val="Arial"/>
        <family val="2"/>
      </rPr>
      <t>OHO</t>
    </r>
  </si>
  <si>
    <r>
      <t>Reduction factor for anoxic growth of X</t>
    </r>
    <r>
      <rPr>
        <vertAlign val="subscript"/>
        <sz val="10"/>
        <rFont val="Arial"/>
        <family val="2"/>
      </rPr>
      <t>OHO</t>
    </r>
  </si>
  <si>
    <r>
      <t>η</t>
    </r>
    <r>
      <rPr>
        <vertAlign val="subscript"/>
        <sz val="12"/>
        <color indexed="57"/>
        <rFont val="Arial"/>
        <family val="2"/>
      </rPr>
      <t>NO3,H</t>
    </r>
  </si>
  <si>
    <r>
      <t>g S</t>
    </r>
    <r>
      <rPr>
        <vertAlign val="subscript"/>
        <sz val="8"/>
        <rFont val="Arial"/>
        <family val="2"/>
      </rPr>
      <t>F</t>
    </r>
    <r>
      <rPr>
        <sz val="8"/>
        <rFont val="Arial"/>
        <family val="2"/>
      </rPr>
      <t>.g X</t>
    </r>
    <r>
      <rPr>
        <vertAlign val="subscript"/>
        <sz val="8"/>
        <rFont val="Arial"/>
        <family val="2"/>
      </rPr>
      <t>OHO</t>
    </r>
    <r>
      <rPr>
        <vertAlign val="superscript"/>
        <sz val="8"/>
        <rFont val="Arial"/>
        <family val="2"/>
      </rPr>
      <t>-1</t>
    </r>
    <r>
      <rPr>
        <sz val="8"/>
        <rFont val="Arial"/>
        <family val="2"/>
      </rPr>
      <t>.d</t>
    </r>
    <r>
      <rPr>
        <vertAlign val="superscript"/>
        <sz val="10"/>
        <rFont val="Arial"/>
        <family val="2"/>
      </rPr>
      <t>-1</t>
    </r>
  </si>
  <si>
    <r>
      <t>Half saturation parameter for S</t>
    </r>
    <r>
      <rPr>
        <vertAlign val="subscript"/>
        <sz val="10"/>
        <rFont val="Arial"/>
        <family val="2"/>
      </rPr>
      <t>F</t>
    </r>
  </si>
  <si>
    <r>
      <t>g S</t>
    </r>
    <r>
      <rPr>
        <vertAlign val="subscript"/>
        <sz val="8"/>
        <rFont val="Arial"/>
        <family val="2"/>
      </rPr>
      <t>F</t>
    </r>
    <r>
      <rPr>
        <sz val="8"/>
        <rFont val="Arial"/>
        <family val="2"/>
      </rPr>
      <t>.m</t>
    </r>
    <r>
      <rPr>
        <vertAlign val="superscript"/>
        <sz val="10"/>
        <rFont val="Arial"/>
        <family val="2"/>
      </rPr>
      <t>-3</t>
    </r>
  </si>
  <si>
    <r>
      <t>Half saturation parameter for S</t>
    </r>
    <r>
      <rPr>
        <vertAlign val="subscript"/>
        <sz val="10"/>
        <rFont val="Arial"/>
        <family val="2"/>
      </rPr>
      <t>Ac</t>
    </r>
  </si>
  <si>
    <r>
      <t>K</t>
    </r>
    <r>
      <rPr>
        <vertAlign val="subscript"/>
        <sz val="12"/>
        <color indexed="57"/>
        <rFont val="Arial"/>
        <family val="2"/>
      </rPr>
      <t>A,H</t>
    </r>
  </si>
  <si>
    <r>
      <t>g S</t>
    </r>
    <r>
      <rPr>
        <vertAlign val="subscript"/>
        <sz val="8"/>
        <rFont val="Arial"/>
        <family val="2"/>
      </rPr>
      <t>Ac</t>
    </r>
    <r>
      <rPr>
        <sz val="8"/>
        <rFont val="Arial"/>
        <family val="2"/>
      </rPr>
      <t>.m</t>
    </r>
    <r>
      <rPr>
        <vertAlign val="superscript"/>
        <sz val="10"/>
        <rFont val="Arial"/>
        <family val="2"/>
      </rPr>
      <t>-3</t>
    </r>
  </si>
  <si>
    <r>
      <t>Half saturation parameter for fermentation of S</t>
    </r>
    <r>
      <rPr>
        <vertAlign val="subscript"/>
        <sz val="10"/>
        <rFont val="Arial"/>
        <family val="2"/>
      </rPr>
      <t>F</t>
    </r>
  </si>
  <si>
    <r>
      <t>K</t>
    </r>
    <r>
      <rPr>
        <vertAlign val="subscript"/>
        <sz val="12"/>
        <color indexed="57"/>
        <rFont val="Arial"/>
        <family val="2"/>
      </rPr>
      <t>O2,H</t>
    </r>
  </si>
  <si>
    <r>
      <t>K</t>
    </r>
    <r>
      <rPr>
        <vertAlign val="subscript"/>
        <sz val="12"/>
        <color indexed="57"/>
        <rFont val="Arial"/>
        <family val="2"/>
      </rPr>
      <t>NO3,H</t>
    </r>
  </si>
  <si>
    <r>
      <t>K</t>
    </r>
    <r>
      <rPr>
        <vertAlign val="subscript"/>
        <sz val="12"/>
        <color indexed="57"/>
        <rFont val="Arial"/>
        <family val="2"/>
      </rPr>
      <t>NH4,H</t>
    </r>
  </si>
  <si>
    <r>
      <t>Half saturation parameter for S</t>
    </r>
    <r>
      <rPr>
        <vertAlign val="subscript"/>
        <sz val="10"/>
        <rFont val="Arial"/>
        <family val="2"/>
      </rPr>
      <t>PO4</t>
    </r>
    <r>
      <rPr>
        <sz val="10"/>
        <rFont val="Arial"/>
        <family val="2"/>
      </rPr>
      <t xml:space="preserve"> </t>
    </r>
  </si>
  <si>
    <r>
      <t>K</t>
    </r>
    <r>
      <rPr>
        <vertAlign val="subscript"/>
        <sz val="12"/>
        <color indexed="57"/>
        <rFont val="Arial"/>
        <family val="2"/>
      </rPr>
      <t>P,H</t>
    </r>
  </si>
  <si>
    <r>
      <t>g S</t>
    </r>
    <r>
      <rPr>
        <vertAlign val="subscript"/>
        <sz val="8"/>
        <rFont val="Arial"/>
        <family val="2"/>
      </rPr>
      <t>PO4</t>
    </r>
    <r>
      <rPr>
        <sz val="8"/>
        <rFont val="Arial"/>
        <family val="2"/>
      </rPr>
      <t>.m</t>
    </r>
    <r>
      <rPr>
        <vertAlign val="superscript"/>
        <sz val="10"/>
        <rFont val="Arial"/>
        <family val="2"/>
      </rPr>
      <t>-3</t>
    </r>
  </si>
  <si>
    <r>
      <t>Half saturation parameter for S</t>
    </r>
    <r>
      <rPr>
        <vertAlign val="subscript"/>
        <sz val="10"/>
        <rFont val="Arial"/>
        <family val="2"/>
      </rPr>
      <t>Alk</t>
    </r>
  </si>
  <si>
    <r>
      <t>K</t>
    </r>
    <r>
      <rPr>
        <vertAlign val="subscript"/>
        <sz val="12"/>
        <color indexed="57"/>
        <rFont val="Arial"/>
        <family val="2"/>
      </rPr>
      <t>ALK,H</t>
    </r>
  </si>
  <si>
    <r>
      <t>mol HCO</t>
    </r>
    <r>
      <rPr>
        <vertAlign val="subscript"/>
        <sz val="8"/>
        <rFont val="Arial"/>
        <family val="2"/>
      </rPr>
      <t>3</t>
    </r>
    <r>
      <rPr>
        <vertAlign val="superscript"/>
        <sz val="8"/>
        <rFont val="Arial"/>
        <family val="2"/>
      </rPr>
      <t>-</t>
    </r>
    <r>
      <rPr>
        <sz val="8"/>
        <rFont val="Arial"/>
        <family val="2"/>
      </rPr>
      <t>.m</t>
    </r>
    <r>
      <rPr>
        <vertAlign val="superscript"/>
        <sz val="10"/>
        <rFont val="Arial"/>
        <family val="2"/>
      </rPr>
      <t>-3</t>
    </r>
  </si>
  <si>
    <r>
      <t>Rate constant for S</t>
    </r>
    <r>
      <rPr>
        <vertAlign val="subscript"/>
        <sz val="10"/>
        <rFont val="Arial"/>
        <family val="2"/>
      </rPr>
      <t>Ac</t>
    </r>
    <r>
      <rPr>
        <sz val="10"/>
        <rFont val="Arial"/>
        <family val="2"/>
      </rPr>
      <t xml:space="preserve"> uptake rate (X</t>
    </r>
    <r>
      <rPr>
        <vertAlign val="subscript"/>
        <sz val="10"/>
        <rFont val="Arial"/>
        <family val="2"/>
      </rPr>
      <t>PAO,PHA</t>
    </r>
    <r>
      <rPr>
        <sz val="10"/>
        <rFont val="Arial"/>
        <family val="2"/>
      </rPr>
      <t xml:space="preserve"> storage) </t>
    </r>
  </si>
  <si>
    <r>
      <t>g X</t>
    </r>
    <r>
      <rPr>
        <vertAlign val="subscript"/>
        <sz val="8"/>
        <rFont val="Arial"/>
        <family val="2"/>
      </rPr>
      <t>PHA</t>
    </r>
    <r>
      <rPr>
        <sz val="8"/>
        <rFont val="Arial"/>
        <family val="2"/>
      </rPr>
      <t>.g X</t>
    </r>
    <r>
      <rPr>
        <vertAlign val="subscript"/>
        <sz val="8"/>
        <rFont val="Arial"/>
        <family val="2"/>
      </rPr>
      <t>PAO</t>
    </r>
    <r>
      <rPr>
        <vertAlign val="superscript"/>
        <sz val="8"/>
        <rFont val="Arial"/>
        <family val="2"/>
      </rPr>
      <t>-1</t>
    </r>
    <r>
      <rPr>
        <sz val="8"/>
        <rFont val="Arial"/>
        <family val="2"/>
      </rPr>
      <t>.d</t>
    </r>
    <r>
      <rPr>
        <vertAlign val="superscript"/>
        <sz val="10"/>
        <rFont val="Arial"/>
        <family val="2"/>
      </rPr>
      <t>-1</t>
    </r>
  </si>
  <si>
    <r>
      <t>Rate constant for storage of X</t>
    </r>
    <r>
      <rPr>
        <vertAlign val="subscript"/>
        <sz val="10"/>
        <rFont val="Arial"/>
        <family val="2"/>
      </rPr>
      <t>PAO,PP</t>
    </r>
  </si>
  <si>
    <r>
      <t>g X</t>
    </r>
    <r>
      <rPr>
        <vertAlign val="subscript"/>
        <sz val="8"/>
        <rFont val="Arial"/>
        <family val="2"/>
      </rPr>
      <t>PP</t>
    </r>
    <r>
      <rPr>
        <sz val="8"/>
        <rFont val="Arial"/>
        <family val="2"/>
      </rPr>
      <t>.g X</t>
    </r>
    <r>
      <rPr>
        <vertAlign val="subscript"/>
        <sz val="8"/>
        <rFont val="Arial"/>
        <family val="2"/>
      </rPr>
      <t>PAO</t>
    </r>
    <r>
      <rPr>
        <vertAlign val="superscript"/>
        <sz val="8"/>
        <rFont val="Arial"/>
        <family val="2"/>
      </rPr>
      <t>-1</t>
    </r>
    <r>
      <rPr>
        <sz val="8"/>
        <rFont val="Arial"/>
        <family val="2"/>
      </rPr>
      <t>.d</t>
    </r>
    <r>
      <rPr>
        <vertAlign val="superscript"/>
        <sz val="10"/>
        <rFont val="Arial"/>
        <family val="2"/>
      </rPr>
      <t>-1</t>
    </r>
  </si>
  <si>
    <r>
      <t>Maximum ratio of X</t>
    </r>
    <r>
      <rPr>
        <vertAlign val="subscript"/>
        <sz val="10"/>
        <rFont val="Arial"/>
        <family val="2"/>
      </rPr>
      <t>PAO,PP</t>
    </r>
    <r>
      <rPr>
        <sz val="10"/>
        <rFont val="Arial"/>
        <family val="2"/>
      </rPr>
      <t>/X</t>
    </r>
    <r>
      <rPr>
        <vertAlign val="subscript"/>
        <sz val="10"/>
        <rFont val="Arial"/>
        <family val="2"/>
      </rPr>
      <t>PAO</t>
    </r>
  </si>
  <si>
    <r>
      <t>g X</t>
    </r>
    <r>
      <rPr>
        <vertAlign val="subscript"/>
        <sz val="8"/>
        <rFont val="Arial"/>
        <family val="2"/>
      </rPr>
      <t>PP</t>
    </r>
    <r>
      <rPr>
        <sz val="8"/>
        <rFont val="Arial"/>
        <family val="2"/>
      </rPr>
      <t>.g X</t>
    </r>
    <r>
      <rPr>
        <vertAlign val="subscript"/>
        <sz val="8"/>
        <rFont val="Arial"/>
        <family val="2"/>
      </rPr>
      <t>PAO</t>
    </r>
    <r>
      <rPr>
        <vertAlign val="superscript"/>
        <sz val="10"/>
        <rFont val="Arial"/>
        <family val="2"/>
      </rPr>
      <t>-1</t>
    </r>
  </si>
  <si>
    <r>
      <t>Half saturation parameter for X</t>
    </r>
    <r>
      <rPr>
        <vertAlign val="subscript"/>
        <sz val="10"/>
        <rFont val="Arial"/>
        <family val="2"/>
      </rPr>
      <t>PAO,PP</t>
    </r>
    <r>
      <rPr>
        <sz val="10"/>
        <rFont val="Arial"/>
        <family val="2"/>
      </rPr>
      <t>/X</t>
    </r>
    <r>
      <rPr>
        <vertAlign val="subscript"/>
        <sz val="10"/>
        <rFont val="Arial"/>
        <family val="2"/>
      </rPr>
      <t>PAO</t>
    </r>
  </si>
  <si>
    <r>
      <t>Half Inhibition parameter for X</t>
    </r>
    <r>
      <rPr>
        <vertAlign val="subscript"/>
        <sz val="10"/>
        <rFont val="Arial"/>
        <family val="2"/>
      </rPr>
      <t>PAO,PP</t>
    </r>
    <r>
      <rPr>
        <sz val="10"/>
        <rFont val="Arial"/>
        <family val="2"/>
      </rPr>
      <t>/X</t>
    </r>
    <r>
      <rPr>
        <vertAlign val="subscript"/>
        <sz val="10"/>
        <rFont val="Arial"/>
        <family val="2"/>
      </rPr>
      <t>PAO</t>
    </r>
  </si>
  <si>
    <r>
      <t>Maximum growth rate of X</t>
    </r>
    <r>
      <rPr>
        <vertAlign val="subscript"/>
        <sz val="10"/>
        <rFont val="Arial"/>
        <family val="2"/>
      </rPr>
      <t>PAO</t>
    </r>
  </si>
  <si>
    <r>
      <t>Reduction factor for anoxic growth of X</t>
    </r>
    <r>
      <rPr>
        <vertAlign val="subscript"/>
        <sz val="10"/>
        <rFont val="Arial"/>
        <family val="2"/>
      </rPr>
      <t>PAO</t>
    </r>
  </si>
  <si>
    <r>
      <t>η</t>
    </r>
    <r>
      <rPr>
        <vertAlign val="subscript"/>
        <sz val="12"/>
        <color indexed="57"/>
        <rFont val="Arial"/>
        <family val="2"/>
      </rPr>
      <t>NO3,PAO</t>
    </r>
  </si>
  <si>
    <r>
      <t>Saturation constant for X</t>
    </r>
    <r>
      <rPr>
        <vertAlign val="subscript"/>
        <sz val="10"/>
        <rFont val="Arial"/>
        <family val="2"/>
      </rPr>
      <t>PAO,PHA</t>
    </r>
    <r>
      <rPr>
        <sz val="10"/>
        <rFont val="Arial"/>
        <family val="2"/>
      </rPr>
      <t>/X</t>
    </r>
    <r>
      <rPr>
        <vertAlign val="subscript"/>
        <sz val="10"/>
        <rFont val="Arial"/>
        <family val="2"/>
      </rPr>
      <t xml:space="preserve">PAO </t>
    </r>
  </si>
  <si>
    <r>
      <t>g X</t>
    </r>
    <r>
      <rPr>
        <vertAlign val="subscript"/>
        <sz val="8"/>
        <rFont val="Arial"/>
        <family val="2"/>
      </rPr>
      <t>PHA</t>
    </r>
    <r>
      <rPr>
        <sz val="8"/>
        <rFont val="Arial"/>
        <family val="2"/>
      </rPr>
      <t>.g X</t>
    </r>
    <r>
      <rPr>
        <vertAlign val="subscript"/>
        <sz val="8"/>
        <rFont val="Arial"/>
        <family val="2"/>
      </rPr>
      <t>PAO</t>
    </r>
    <r>
      <rPr>
        <vertAlign val="superscript"/>
        <sz val="10"/>
        <rFont val="Arial"/>
        <family val="2"/>
      </rPr>
      <t>-1</t>
    </r>
  </si>
  <si>
    <r>
      <t>Endogenous respiration rate of X</t>
    </r>
    <r>
      <rPr>
        <vertAlign val="subscript"/>
        <sz val="10"/>
        <rFont val="Arial"/>
        <family val="2"/>
      </rPr>
      <t>PAO</t>
    </r>
  </si>
  <si>
    <r>
      <t>Rate constant for Lysis of X</t>
    </r>
    <r>
      <rPr>
        <vertAlign val="subscript"/>
        <sz val="10"/>
        <rFont val="Arial"/>
        <family val="2"/>
      </rPr>
      <t>PAO,PP</t>
    </r>
  </si>
  <si>
    <r>
      <t>Rate constant for respiration of X</t>
    </r>
    <r>
      <rPr>
        <vertAlign val="subscript"/>
        <sz val="10"/>
        <rFont val="Arial"/>
        <family val="2"/>
      </rPr>
      <t>PAO,PHA</t>
    </r>
  </si>
  <si>
    <r>
      <t>K</t>
    </r>
    <r>
      <rPr>
        <vertAlign val="subscript"/>
        <sz val="12"/>
        <color indexed="57"/>
        <rFont val="Arial"/>
        <family val="2"/>
      </rPr>
      <t>A,PAO</t>
    </r>
  </si>
  <si>
    <r>
      <t>K</t>
    </r>
    <r>
      <rPr>
        <vertAlign val="subscript"/>
        <sz val="12"/>
        <color indexed="57"/>
        <rFont val="Arial"/>
        <family val="2"/>
      </rPr>
      <t>O2,PAO</t>
    </r>
  </si>
  <si>
    <r>
      <t>K</t>
    </r>
    <r>
      <rPr>
        <vertAlign val="subscript"/>
        <sz val="12"/>
        <color indexed="57"/>
        <rFont val="Arial"/>
        <family val="2"/>
      </rPr>
      <t>NO3,PAO</t>
    </r>
  </si>
  <si>
    <r>
      <t>K</t>
    </r>
    <r>
      <rPr>
        <vertAlign val="subscript"/>
        <sz val="12"/>
        <color indexed="57"/>
        <rFont val="Arial"/>
        <family val="2"/>
      </rPr>
      <t>NH4,PAO</t>
    </r>
  </si>
  <si>
    <r>
      <t>Half saturation parameter for S</t>
    </r>
    <r>
      <rPr>
        <vertAlign val="subscript"/>
        <sz val="10"/>
        <rFont val="Arial"/>
        <family val="2"/>
      </rPr>
      <t>PO4</t>
    </r>
    <r>
      <rPr>
        <sz val="10"/>
        <rFont val="Arial"/>
        <family val="2"/>
      </rPr>
      <t xml:space="preserve"> uptake (X</t>
    </r>
    <r>
      <rPr>
        <vertAlign val="subscript"/>
        <sz val="10"/>
        <rFont val="Arial"/>
        <family val="2"/>
      </rPr>
      <t>PAO,PP</t>
    </r>
    <r>
      <rPr>
        <sz val="10"/>
        <rFont val="Arial"/>
        <family val="2"/>
      </rPr>
      <t xml:space="preserve"> storage)</t>
    </r>
  </si>
  <si>
    <r>
      <t>Half saturation parameter for S</t>
    </r>
    <r>
      <rPr>
        <vertAlign val="subscript"/>
        <sz val="10"/>
        <rFont val="Arial"/>
        <family val="2"/>
      </rPr>
      <t>PO4</t>
    </r>
    <r>
      <rPr>
        <sz val="10"/>
        <rFont val="Arial"/>
        <family val="2"/>
      </rPr>
      <t xml:space="preserve"> as nutrient (X</t>
    </r>
    <r>
      <rPr>
        <vertAlign val="subscript"/>
        <sz val="10"/>
        <rFont val="Arial"/>
        <family val="2"/>
      </rPr>
      <t>PAO</t>
    </r>
    <r>
      <rPr>
        <sz val="10"/>
        <rFont val="Arial"/>
        <family val="2"/>
      </rPr>
      <t xml:space="preserve"> growth)</t>
    </r>
  </si>
  <si>
    <r>
      <t>K</t>
    </r>
    <r>
      <rPr>
        <vertAlign val="subscript"/>
        <sz val="12"/>
        <color indexed="57"/>
        <rFont val="Arial"/>
        <family val="2"/>
      </rPr>
      <t>P,PAO</t>
    </r>
  </si>
  <si>
    <r>
      <t>K</t>
    </r>
    <r>
      <rPr>
        <vertAlign val="subscript"/>
        <sz val="12"/>
        <color indexed="57"/>
        <rFont val="Arial"/>
        <family val="2"/>
      </rPr>
      <t>ALK,PAO</t>
    </r>
  </si>
  <si>
    <r>
      <t>K</t>
    </r>
    <r>
      <rPr>
        <vertAlign val="subscript"/>
        <sz val="12"/>
        <color indexed="57"/>
        <rFont val="Arial"/>
        <family val="2"/>
      </rPr>
      <t>O2,AUT</t>
    </r>
  </si>
  <si>
    <r>
      <t>K</t>
    </r>
    <r>
      <rPr>
        <vertAlign val="subscript"/>
        <sz val="12"/>
        <color indexed="57"/>
        <rFont val="Arial"/>
        <family val="2"/>
      </rPr>
      <t>NH4,AUT</t>
    </r>
  </si>
  <si>
    <r>
      <t>K</t>
    </r>
    <r>
      <rPr>
        <vertAlign val="subscript"/>
        <sz val="12"/>
        <color indexed="57"/>
        <rFont val="Arial"/>
        <family val="2"/>
      </rPr>
      <t>P,AUT</t>
    </r>
  </si>
  <si>
    <r>
      <t>K</t>
    </r>
    <r>
      <rPr>
        <vertAlign val="subscript"/>
        <sz val="12"/>
        <color indexed="57"/>
        <rFont val="Arial"/>
        <family val="2"/>
      </rPr>
      <t>ALK,AUT</t>
    </r>
  </si>
  <si>
    <r>
      <t>m</t>
    </r>
    <r>
      <rPr>
        <vertAlign val="superscript"/>
        <sz val="8"/>
        <rFont val="Arial"/>
        <family val="2"/>
      </rPr>
      <t>3</t>
    </r>
    <r>
      <rPr>
        <sz val="8"/>
        <rFont val="Arial"/>
        <family val="2"/>
      </rPr>
      <t>.g Fe(OH)</t>
    </r>
    <r>
      <rPr>
        <vertAlign val="subscript"/>
        <sz val="8"/>
        <rFont val="Arial"/>
        <family val="2"/>
      </rPr>
      <t>3</t>
    </r>
    <r>
      <rPr>
        <vertAlign val="superscript"/>
        <sz val="8"/>
        <rFont val="Arial"/>
        <family val="2"/>
      </rPr>
      <t>-1</t>
    </r>
    <r>
      <rPr>
        <sz val="8"/>
        <rFont val="Arial"/>
        <family val="2"/>
      </rPr>
      <t>.d</t>
    </r>
    <r>
      <rPr>
        <vertAlign val="superscript"/>
        <sz val="10"/>
        <rFont val="Arial"/>
        <family val="2"/>
      </rPr>
      <t>-1</t>
    </r>
  </si>
  <si>
    <r>
      <t>K</t>
    </r>
    <r>
      <rPr>
        <vertAlign val="subscript"/>
        <sz val="12"/>
        <color indexed="57"/>
        <rFont val="Arial"/>
        <family val="2"/>
      </rPr>
      <t>ALK,PRE</t>
    </r>
  </si>
  <si>
    <r>
      <t>mol HCO3</t>
    </r>
    <r>
      <rPr>
        <vertAlign val="superscript"/>
        <sz val="8"/>
        <rFont val="Arial"/>
        <family val="2"/>
      </rPr>
      <t>-</t>
    </r>
    <r>
      <rPr>
        <sz val="8"/>
        <rFont val="Arial"/>
        <family val="2"/>
      </rPr>
      <t>.m</t>
    </r>
    <r>
      <rPr>
        <vertAlign val="superscript"/>
        <sz val="10"/>
        <rFont val="Arial"/>
        <family val="2"/>
      </rPr>
      <t>-3</t>
    </r>
  </si>
  <si>
    <r>
      <t>1-</t>
    </r>
    <r>
      <rPr>
        <i/>
        <sz val="12"/>
        <rFont val="Arial"/>
        <family val="2"/>
      </rPr>
      <t>f</t>
    </r>
    <r>
      <rPr>
        <vertAlign val="subscript"/>
        <sz val="12"/>
        <rFont val="Arial"/>
        <family val="2"/>
      </rPr>
      <t>SI</t>
    </r>
  </si>
  <si>
    <r>
      <t>-(1-</t>
    </r>
    <r>
      <rPr>
        <i/>
        <sz val="12"/>
        <rFont val="Arial"/>
        <family val="2"/>
      </rPr>
      <t>f</t>
    </r>
    <r>
      <rPr>
        <vertAlign val="subscript"/>
        <sz val="12"/>
        <rFont val="Arial"/>
        <family val="2"/>
      </rPr>
      <t>SI</t>
    </r>
    <r>
      <rPr>
        <sz val="12"/>
        <rFont val="Arial"/>
        <family val="2"/>
      </rPr>
      <t>)*</t>
    </r>
    <r>
      <rPr>
        <i/>
        <sz val="12"/>
        <rFont val="Arial"/>
        <family val="2"/>
      </rPr>
      <t>i</t>
    </r>
    <r>
      <rPr>
        <vertAlign val="subscript"/>
        <sz val="12"/>
        <rFont val="Arial"/>
        <family val="2"/>
      </rPr>
      <t>N,SS</t>
    </r>
    <r>
      <rPr>
        <sz val="12"/>
        <rFont val="Arial"/>
        <family val="2"/>
      </rPr>
      <t>-</t>
    </r>
    <r>
      <rPr>
        <i/>
        <sz val="12"/>
        <rFont val="Arial"/>
        <family val="2"/>
      </rPr>
      <t>f</t>
    </r>
    <r>
      <rPr>
        <vertAlign val="subscript"/>
        <sz val="12"/>
        <rFont val="Arial"/>
        <family val="2"/>
      </rPr>
      <t>SI</t>
    </r>
    <r>
      <rPr>
        <sz val="12"/>
        <rFont val="Arial"/>
        <family val="2"/>
      </rPr>
      <t>*</t>
    </r>
    <r>
      <rPr>
        <i/>
        <sz val="12"/>
        <rFont val="Arial"/>
        <family val="2"/>
      </rPr>
      <t>i</t>
    </r>
    <r>
      <rPr>
        <vertAlign val="subscript"/>
        <sz val="12"/>
        <rFont val="Arial"/>
        <family val="2"/>
      </rPr>
      <t>N,SI</t>
    </r>
    <r>
      <rPr>
        <sz val="12"/>
        <rFont val="Arial"/>
        <family val="2"/>
      </rPr>
      <t>+</t>
    </r>
    <r>
      <rPr>
        <i/>
        <sz val="12"/>
        <rFont val="Arial"/>
        <family val="2"/>
      </rPr>
      <t>i</t>
    </r>
    <r>
      <rPr>
        <vertAlign val="subscript"/>
        <sz val="12"/>
        <rFont val="Arial"/>
        <family val="2"/>
      </rPr>
      <t>N,XS</t>
    </r>
  </si>
  <si>
    <r>
      <t>v</t>
    </r>
    <r>
      <rPr>
        <vertAlign val="subscript"/>
        <sz val="12"/>
        <rFont val="Arial"/>
        <family val="2"/>
      </rPr>
      <t>1_NH4</t>
    </r>
    <r>
      <rPr>
        <sz val="12"/>
        <rFont val="Arial"/>
        <family val="2"/>
      </rPr>
      <t>*</t>
    </r>
    <r>
      <rPr>
        <i/>
        <sz val="12"/>
        <rFont val="Arial"/>
        <family val="2"/>
      </rPr>
      <t>i</t>
    </r>
    <r>
      <rPr>
        <vertAlign val="subscript"/>
        <sz val="12"/>
        <rFont val="Arial"/>
        <family val="2"/>
      </rPr>
      <t>Charge_NHx</t>
    </r>
  </si>
  <si>
    <r>
      <t>-</t>
    </r>
    <r>
      <rPr>
        <i/>
        <sz val="12"/>
        <rFont val="Arial"/>
        <family val="2"/>
      </rPr>
      <t>i</t>
    </r>
    <r>
      <rPr>
        <vertAlign val="subscript"/>
        <sz val="12"/>
        <rFont val="Arial"/>
        <family val="2"/>
      </rPr>
      <t>SS,XS</t>
    </r>
  </si>
  <si>
    <r>
      <t>k</t>
    </r>
    <r>
      <rPr>
        <vertAlign val="subscript"/>
        <sz val="12"/>
        <rFont val="Arial"/>
        <family val="2"/>
      </rPr>
      <t>H</t>
    </r>
    <r>
      <rPr>
        <sz val="12"/>
        <rFont val="Arial"/>
        <family val="2"/>
      </rPr>
      <t>*(</t>
    </r>
    <r>
      <rPr>
        <i/>
        <sz val="12"/>
        <rFont val="Arial"/>
        <family val="2"/>
      </rPr>
      <t>X</t>
    </r>
    <r>
      <rPr>
        <vertAlign val="subscript"/>
        <sz val="12"/>
        <rFont val="Arial"/>
        <family val="2"/>
      </rPr>
      <t>S</t>
    </r>
    <r>
      <rPr>
        <sz val="12"/>
        <rFont val="Arial"/>
        <family val="2"/>
      </rPr>
      <t>/</t>
    </r>
    <r>
      <rPr>
        <i/>
        <sz val="12"/>
        <rFont val="Arial"/>
        <family val="2"/>
      </rPr>
      <t>X</t>
    </r>
    <r>
      <rPr>
        <vertAlign val="subscript"/>
        <sz val="12"/>
        <rFont val="Arial"/>
        <family val="2"/>
      </rPr>
      <t>H</t>
    </r>
    <r>
      <rPr>
        <sz val="12"/>
        <rFont val="Arial"/>
        <family val="2"/>
      </rPr>
      <t>)/(</t>
    </r>
    <r>
      <rPr>
        <i/>
        <sz val="12"/>
        <rFont val="Arial"/>
        <family val="2"/>
      </rPr>
      <t>K</t>
    </r>
    <r>
      <rPr>
        <vertAlign val="subscript"/>
        <sz val="12"/>
        <rFont val="Arial"/>
        <family val="2"/>
      </rPr>
      <t>X</t>
    </r>
    <r>
      <rPr>
        <sz val="12"/>
        <rFont val="Arial"/>
        <family val="2"/>
      </rPr>
      <t>+</t>
    </r>
    <r>
      <rPr>
        <i/>
        <sz val="12"/>
        <rFont val="Arial"/>
        <family val="2"/>
      </rPr>
      <t>X</t>
    </r>
    <r>
      <rPr>
        <vertAlign val="subscript"/>
        <sz val="12"/>
        <rFont val="Arial"/>
        <family val="2"/>
      </rPr>
      <t>S</t>
    </r>
    <r>
      <rPr>
        <sz val="12"/>
        <rFont val="Arial"/>
        <family val="2"/>
      </rPr>
      <t>/</t>
    </r>
    <r>
      <rPr>
        <i/>
        <sz val="12"/>
        <rFont val="Arial"/>
        <family val="2"/>
      </rPr>
      <t>X</t>
    </r>
    <r>
      <rPr>
        <vertAlign val="subscript"/>
        <sz val="12"/>
        <rFont val="Arial"/>
        <family val="2"/>
      </rPr>
      <t>H</t>
    </r>
    <r>
      <rPr>
        <sz val="12"/>
        <rFont val="Arial"/>
        <family val="2"/>
      </rPr>
      <t>)*</t>
    </r>
    <r>
      <rPr>
        <i/>
        <sz val="12"/>
        <rFont val="Arial"/>
        <family val="2"/>
      </rPr>
      <t>X</t>
    </r>
    <r>
      <rPr>
        <vertAlign val="subscript"/>
        <sz val="12"/>
        <rFont val="Arial"/>
        <family val="2"/>
      </rPr>
      <t>H</t>
    </r>
  </si>
  <si>
    <r>
      <t>Aerobic storage of X</t>
    </r>
    <r>
      <rPr>
        <b/>
        <vertAlign val="subscript"/>
        <sz val="11"/>
        <rFont val="Arial"/>
        <family val="2"/>
      </rPr>
      <t>STO</t>
    </r>
  </si>
  <si>
    <r>
      <t>-(1-</t>
    </r>
    <r>
      <rPr>
        <i/>
        <sz val="12"/>
        <rFont val="Arial"/>
        <family val="2"/>
      </rPr>
      <t>Y</t>
    </r>
    <r>
      <rPr>
        <vertAlign val="subscript"/>
        <sz val="12"/>
        <rFont val="Arial"/>
        <family val="2"/>
      </rPr>
      <t>STO,O2</t>
    </r>
    <r>
      <rPr>
        <sz val="12"/>
        <rFont val="Arial"/>
        <family val="2"/>
      </rPr>
      <t>)</t>
    </r>
  </si>
  <si>
    <r>
      <t>v</t>
    </r>
    <r>
      <rPr>
        <vertAlign val="subscript"/>
        <sz val="12"/>
        <rFont val="Arial"/>
        <family val="2"/>
      </rPr>
      <t>2_NH4</t>
    </r>
    <r>
      <rPr>
        <sz val="12"/>
        <rFont val="Arial"/>
        <family val="2"/>
      </rPr>
      <t>*</t>
    </r>
    <r>
      <rPr>
        <i/>
        <sz val="12"/>
        <rFont val="Arial"/>
        <family val="2"/>
      </rPr>
      <t>i</t>
    </r>
    <r>
      <rPr>
        <vertAlign val="subscript"/>
        <sz val="12"/>
        <rFont val="Arial"/>
        <family val="2"/>
      </rPr>
      <t>Charge_NHx</t>
    </r>
  </si>
  <si>
    <r>
      <t>Y</t>
    </r>
    <r>
      <rPr>
        <vertAlign val="subscript"/>
        <sz val="12"/>
        <rFont val="Arial"/>
        <family val="2"/>
      </rPr>
      <t>STO,O2</t>
    </r>
    <r>
      <rPr>
        <sz val="12"/>
        <rFont val="Arial"/>
        <family val="2"/>
      </rPr>
      <t>*</t>
    </r>
    <r>
      <rPr>
        <i/>
        <sz val="12"/>
        <rFont val="Arial"/>
        <family val="2"/>
      </rPr>
      <t>i</t>
    </r>
    <r>
      <rPr>
        <vertAlign val="subscript"/>
        <sz val="12"/>
        <rFont val="Arial"/>
        <family val="2"/>
      </rPr>
      <t>SS,STO</t>
    </r>
  </si>
  <si>
    <r>
      <t>k</t>
    </r>
    <r>
      <rPr>
        <vertAlign val="subscript"/>
        <sz val="12"/>
        <rFont val="Arial"/>
        <family val="2"/>
      </rPr>
      <t>STO</t>
    </r>
    <r>
      <rPr>
        <sz val="11"/>
        <rFont val="Arial"/>
        <family val="2"/>
      </rPr>
      <t>*</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K</t>
    </r>
    <r>
      <rPr>
        <vertAlign val="subscript"/>
        <sz val="12"/>
        <rFont val="Arial"/>
        <family val="2"/>
      </rPr>
      <t>O2</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S</t>
    </r>
    <r>
      <rPr>
        <sz val="12"/>
        <rFont val="Arial"/>
        <family val="2"/>
      </rPr>
      <t>/(</t>
    </r>
    <r>
      <rPr>
        <i/>
        <sz val="12"/>
        <rFont val="Arial"/>
        <family val="2"/>
      </rPr>
      <t>K</t>
    </r>
    <r>
      <rPr>
        <vertAlign val="subscript"/>
        <sz val="12"/>
        <rFont val="Arial"/>
        <family val="2"/>
      </rPr>
      <t>S</t>
    </r>
    <r>
      <rPr>
        <sz val="12"/>
        <rFont val="Arial"/>
        <family val="2"/>
      </rPr>
      <t>+</t>
    </r>
    <r>
      <rPr>
        <i/>
        <sz val="12"/>
        <rFont val="Arial"/>
        <family val="2"/>
      </rPr>
      <t>S</t>
    </r>
    <r>
      <rPr>
        <vertAlign val="subscript"/>
        <sz val="12"/>
        <rFont val="Arial"/>
        <family val="2"/>
      </rPr>
      <t>S</t>
    </r>
    <r>
      <rPr>
        <sz val="12"/>
        <rFont val="Arial"/>
        <family val="2"/>
      </rPr>
      <t>)]*</t>
    </r>
    <r>
      <rPr>
        <i/>
        <sz val="12"/>
        <rFont val="Arial"/>
        <family val="2"/>
      </rPr>
      <t>X</t>
    </r>
    <r>
      <rPr>
        <vertAlign val="subscript"/>
        <sz val="12"/>
        <rFont val="Arial"/>
        <family val="2"/>
      </rPr>
      <t>H</t>
    </r>
  </si>
  <si>
    <r>
      <t>Anoxic storage of X</t>
    </r>
    <r>
      <rPr>
        <b/>
        <vertAlign val="subscript"/>
        <sz val="11"/>
        <rFont val="Arial"/>
        <family val="2"/>
      </rPr>
      <t>STO</t>
    </r>
  </si>
  <si>
    <r>
      <t xml:space="preserve">H. Hauduc, L. Rieger, I. Takács, A. Héduit, P.A. Vanrolleghem and S. Gillot (2010). A systematic approach for model verification: application on seven published Activated Sludge Models. </t>
    </r>
    <r>
      <rPr>
        <i/>
        <sz val="11"/>
        <color indexed="8"/>
        <rFont val="Arial"/>
        <family val="2"/>
      </rPr>
      <t>Water Science and Technology</t>
    </r>
    <r>
      <rPr>
        <sz val="11"/>
        <color indexed="8"/>
        <rFont val="Arial"/>
        <family val="2"/>
      </rPr>
      <t xml:space="preserve">, </t>
    </r>
    <r>
      <rPr>
        <b/>
        <sz val="11"/>
        <color indexed="8"/>
        <rFont val="Arial"/>
        <family val="2"/>
      </rPr>
      <t>61</t>
    </r>
    <r>
      <rPr>
        <sz val="11"/>
        <color indexed="8"/>
        <rFont val="Arial"/>
        <family val="2"/>
      </rPr>
      <t>(4), 825-839.</t>
    </r>
  </si>
  <si>
    <t>**The parameters and variables newly introduced in this study are named according to the standardised notation rules (Corominas et al., 2010) and thus may not be consistent with the original model notation.</t>
  </si>
  <si>
    <r>
      <t xml:space="preserve">The quality of simulation results can be significantly affected by errors in the published model (typing, inconsistencies, gaps or conceptual errors) and/or in the underlying numerical model description. Seven of the most commonly used activated sludge models have been investigated to point out the typing errors, inconsistencies and gaps in the model publications: (1) ASM1 (Henze </t>
    </r>
    <r>
      <rPr>
        <i/>
        <sz val="10"/>
        <color indexed="8"/>
        <rFont val="Arial"/>
        <family val="2"/>
      </rPr>
      <t>et al.</t>
    </r>
    <r>
      <rPr>
        <sz val="10"/>
        <color indexed="8"/>
        <rFont val="Arial"/>
        <family val="2"/>
      </rPr>
      <t xml:space="preserve">, 1987; republished in Henze </t>
    </r>
    <r>
      <rPr>
        <i/>
        <sz val="10"/>
        <color indexed="8"/>
        <rFont val="Arial"/>
        <family val="2"/>
      </rPr>
      <t>et al.</t>
    </r>
    <r>
      <rPr>
        <sz val="10"/>
        <color indexed="8"/>
        <rFont val="Arial"/>
        <family val="2"/>
      </rPr>
      <t xml:space="preserve">, 2000a); (2) ASM2d (Henze </t>
    </r>
    <r>
      <rPr>
        <i/>
        <sz val="10"/>
        <color indexed="8"/>
        <rFont val="Arial"/>
        <family val="2"/>
      </rPr>
      <t>et al.</t>
    </r>
    <r>
      <rPr>
        <sz val="10"/>
        <color indexed="8"/>
        <rFont val="Arial"/>
        <family val="2"/>
      </rPr>
      <t xml:space="preserve">, 1999; republished in Henze </t>
    </r>
    <r>
      <rPr>
        <i/>
        <sz val="10"/>
        <color indexed="8"/>
        <rFont val="Arial"/>
        <family val="2"/>
      </rPr>
      <t>et al.</t>
    </r>
    <r>
      <rPr>
        <sz val="10"/>
        <color indexed="8"/>
        <rFont val="Arial"/>
        <family val="2"/>
      </rPr>
      <t xml:space="preserve">, 2000b); (3) ASM3 (Gujer </t>
    </r>
    <r>
      <rPr>
        <i/>
        <sz val="10"/>
        <color indexed="8"/>
        <rFont val="Arial"/>
        <family val="2"/>
      </rPr>
      <t>et al.</t>
    </r>
    <r>
      <rPr>
        <sz val="10"/>
        <color indexed="8"/>
        <rFont val="Arial"/>
        <family val="2"/>
      </rPr>
      <t xml:space="preserve">, 1999; corrected version published in Gujer </t>
    </r>
    <r>
      <rPr>
        <i/>
        <sz val="10"/>
        <color indexed="8"/>
        <rFont val="Arial"/>
        <family val="2"/>
      </rPr>
      <t>et al.</t>
    </r>
    <r>
      <rPr>
        <sz val="10"/>
        <color indexed="8"/>
        <rFont val="Arial"/>
        <family val="2"/>
      </rPr>
      <t xml:space="preserve">, 2000); (4) ASM3+Bio-P (Rieger </t>
    </r>
    <r>
      <rPr>
        <i/>
        <sz val="10"/>
        <color indexed="8"/>
        <rFont val="Arial"/>
        <family val="2"/>
      </rPr>
      <t>et al.</t>
    </r>
    <r>
      <rPr>
        <sz val="10"/>
        <color indexed="8"/>
        <rFont val="Arial"/>
        <family val="2"/>
      </rPr>
      <t xml:space="preserve">, 2001); (5) ASM2d+TUD (Meijer, 2004); (6) New General (Barker and Dold, 1997); (7) UCTPHO+ (Hu </t>
    </r>
    <r>
      <rPr>
        <i/>
        <sz val="10"/>
        <color indexed="8"/>
        <rFont val="Arial"/>
        <family val="2"/>
      </rPr>
      <t>et al.</t>
    </r>
    <r>
      <rPr>
        <sz val="10"/>
        <color indexed="8"/>
        <rFont val="Arial"/>
        <family val="2"/>
      </rPr>
      <t xml:space="preserve">, 2007). </t>
    </r>
  </si>
  <si>
    <r>
      <t>-(1-</t>
    </r>
    <r>
      <rPr>
        <i/>
        <sz val="12"/>
        <rFont val="Arial"/>
        <family val="2"/>
      </rPr>
      <t>Y</t>
    </r>
    <r>
      <rPr>
        <vertAlign val="subscript"/>
        <sz val="12"/>
        <rFont val="Arial"/>
        <family val="2"/>
      </rPr>
      <t>STO,NOX</t>
    </r>
    <r>
      <rPr>
        <sz val="12"/>
        <rFont val="Arial"/>
        <family val="2"/>
      </rPr>
      <t>)/(</t>
    </r>
    <r>
      <rPr>
        <i/>
        <sz val="12"/>
        <rFont val="Arial"/>
        <family val="2"/>
      </rPr>
      <t>i</t>
    </r>
    <r>
      <rPr>
        <vertAlign val="subscript"/>
        <sz val="12"/>
        <rFont val="Arial"/>
        <family val="2"/>
      </rPr>
      <t>NOx.N2</t>
    </r>
    <r>
      <rPr>
        <sz val="12"/>
        <rFont val="Arial"/>
        <family val="2"/>
      </rPr>
      <t>)</t>
    </r>
  </si>
  <si>
    <r>
      <t>(1-</t>
    </r>
    <r>
      <rPr>
        <i/>
        <sz val="12"/>
        <rFont val="Arial"/>
        <family val="2"/>
      </rPr>
      <t>Y</t>
    </r>
    <r>
      <rPr>
        <vertAlign val="subscript"/>
        <sz val="12"/>
        <rFont val="Arial"/>
        <family val="2"/>
      </rPr>
      <t>STO,NOX</t>
    </r>
    <r>
      <rPr>
        <sz val="12"/>
        <rFont val="Arial"/>
        <family val="2"/>
      </rPr>
      <t>)/(</t>
    </r>
    <r>
      <rPr>
        <i/>
        <sz val="12"/>
        <rFont val="Arial"/>
        <family val="2"/>
      </rPr>
      <t>i</t>
    </r>
    <r>
      <rPr>
        <vertAlign val="subscript"/>
        <sz val="12"/>
        <rFont val="Arial"/>
        <family val="2"/>
      </rPr>
      <t>NOx.N2</t>
    </r>
    <r>
      <rPr>
        <sz val="12"/>
        <rFont val="Arial"/>
        <family val="2"/>
      </rPr>
      <t>)</t>
    </r>
  </si>
  <si>
    <r>
      <t>v</t>
    </r>
    <r>
      <rPr>
        <vertAlign val="subscript"/>
        <sz val="12"/>
        <rFont val="Arial"/>
        <family val="2"/>
      </rPr>
      <t>3_NH4</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3_NOX</t>
    </r>
    <r>
      <rPr>
        <sz val="12"/>
        <rFont val="Arial"/>
        <family val="2"/>
      </rPr>
      <t>*</t>
    </r>
    <r>
      <rPr>
        <i/>
        <sz val="12"/>
        <rFont val="Arial"/>
        <family val="2"/>
      </rPr>
      <t>i</t>
    </r>
    <r>
      <rPr>
        <vertAlign val="subscript"/>
        <sz val="12"/>
        <rFont val="Arial"/>
        <family val="2"/>
      </rPr>
      <t>Charge_NOx</t>
    </r>
  </si>
  <si>
    <r>
      <t>Y</t>
    </r>
    <r>
      <rPr>
        <vertAlign val="subscript"/>
        <sz val="12"/>
        <rFont val="Arial"/>
        <family val="2"/>
      </rPr>
      <t>STO,NOX</t>
    </r>
    <r>
      <rPr>
        <sz val="12"/>
        <rFont val="Arial"/>
        <family val="2"/>
      </rPr>
      <t>*</t>
    </r>
    <r>
      <rPr>
        <i/>
        <sz val="12"/>
        <rFont val="Arial"/>
        <family val="2"/>
      </rPr>
      <t>i</t>
    </r>
    <r>
      <rPr>
        <vertAlign val="subscript"/>
        <sz val="12"/>
        <rFont val="Arial"/>
        <family val="2"/>
      </rPr>
      <t>SS,STO</t>
    </r>
  </si>
  <si>
    <r>
      <t>k</t>
    </r>
    <r>
      <rPr>
        <vertAlign val="subscript"/>
        <sz val="12"/>
        <rFont val="Arial"/>
        <family val="2"/>
      </rPr>
      <t>STO</t>
    </r>
    <r>
      <rPr>
        <sz val="12"/>
        <rFont val="Arial"/>
        <family val="2"/>
      </rPr>
      <t>*</t>
    </r>
    <r>
      <rPr>
        <i/>
        <sz val="12"/>
        <rFont val="Arial"/>
        <family val="2"/>
      </rPr>
      <t>η</t>
    </r>
    <r>
      <rPr>
        <vertAlign val="subscript"/>
        <sz val="12"/>
        <rFont val="Arial"/>
        <family val="2"/>
      </rPr>
      <t>NOX</t>
    </r>
    <r>
      <rPr>
        <sz val="12"/>
        <rFont val="Arial"/>
        <family val="2"/>
      </rPr>
      <t>*[</t>
    </r>
    <r>
      <rPr>
        <i/>
        <sz val="12"/>
        <rFont val="Arial"/>
        <family val="2"/>
      </rPr>
      <t>K</t>
    </r>
    <r>
      <rPr>
        <vertAlign val="subscript"/>
        <sz val="12"/>
        <rFont val="Arial"/>
        <family val="2"/>
      </rPr>
      <t>O2</t>
    </r>
    <r>
      <rPr>
        <sz val="12"/>
        <rFont val="Arial"/>
        <family val="2"/>
      </rPr>
      <t>/</t>
    </r>
    <r>
      <rPr>
        <sz val="11"/>
        <rFont val="Arial"/>
        <family val="2"/>
      </rPr>
      <t>(</t>
    </r>
    <r>
      <rPr>
        <i/>
        <sz val="12"/>
        <rFont val="Arial"/>
        <family val="2"/>
      </rPr>
      <t>K</t>
    </r>
    <r>
      <rPr>
        <vertAlign val="subscript"/>
        <sz val="12"/>
        <rFont val="Arial"/>
        <family val="2"/>
      </rPr>
      <t>O2</t>
    </r>
    <r>
      <rPr>
        <sz val="11"/>
        <rFont val="Arial"/>
        <family val="2"/>
      </rPr>
      <t>+</t>
    </r>
    <r>
      <rPr>
        <i/>
        <sz val="12"/>
        <rFont val="Arial"/>
        <family val="2"/>
      </rPr>
      <t>S</t>
    </r>
    <r>
      <rPr>
        <vertAlign val="subscript"/>
        <sz val="12"/>
        <rFont val="Arial"/>
        <family val="2"/>
      </rPr>
      <t>O2</t>
    </r>
    <r>
      <rPr>
        <sz val="12"/>
        <rFont val="Arial"/>
        <family val="2"/>
      </rPr>
      <t>)]</t>
    </r>
    <r>
      <rPr>
        <sz val="11"/>
        <rFont val="Arial"/>
        <family val="2"/>
      </rPr>
      <t>*[</t>
    </r>
    <r>
      <rPr>
        <i/>
        <sz val="12"/>
        <rFont val="Arial"/>
        <family val="2"/>
      </rPr>
      <t>S</t>
    </r>
    <r>
      <rPr>
        <vertAlign val="subscript"/>
        <sz val="12"/>
        <rFont val="Arial"/>
        <family val="2"/>
      </rPr>
      <t>NOX</t>
    </r>
    <r>
      <rPr>
        <sz val="12"/>
        <rFont val="Arial"/>
        <family val="2"/>
      </rPr>
      <t>/(</t>
    </r>
    <r>
      <rPr>
        <i/>
        <sz val="12"/>
        <rFont val="Arial"/>
        <family val="2"/>
      </rPr>
      <t>K</t>
    </r>
    <r>
      <rPr>
        <vertAlign val="subscript"/>
        <sz val="12"/>
        <rFont val="Arial"/>
        <family val="2"/>
      </rPr>
      <t>NOX</t>
    </r>
    <r>
      <rPr>
        <sz val="11"/>
        <rFont val="Arial"/>
        <family val="2"/>
      </rPr>
      <t>+</t>
    </r>
    <r>
      <rPr>
        <i/>
        <sz val="12"/>
        <rFont val="Arial"/>
        <family val="2"/>
      </rPr>
      <t>S</t>
    </r>
    <r>
      <rPr>
        <vertAlign val="subscript"/>
        <sz val="12"/>
        <rFont val="Arial"/>
        <family val="2"/>
      </rPr>
      <t>NOX</t>
    </r>
    <r>
      <rPr>
        <sz val="12"/>
        <rFont val="Arial"/>
        <family val="2"/>
      </rPr>
      <t>)]*[</t>
    </r>
    <r>
      <rPr>
        <i/>
        <sz val="12"/>
        <rFont val="Arial"/>
        <family val="2"/>
      </rPr>
      <t>S</t>
    </r>
    <r>
      <rPr>
        <vertAlign val="subscript"/>
        <sz val="12"/>
        <rFont val="Arial"/>
        <family val="2"/>
      </rPr>
      <t>S</t>
    </r>
    <r>
      <rPr>
        <sz val="12"/>
        <rFont val="Arial"/>
        <family val="2"/>
      </rPr>
      <t>/(</t>
    </r>
    <r>
      <rPr>
        <i/>
        <sz val="12"/>
        <rFont val="Arial"/>
        <family val="2"/>
      </rPr>
      <t>K</t>
    </r>
    <r>
      <rPr>
        <vertAlign val="subscript"/>
        <sz val="12"/>
        <rFont val="Arial"/>
        <family val="2"/>
      </rPr>
      <t>S</t>
    </r>
    <r>
      <rPr>
        <sz val="12"/>
        <rFont val="Arial"/>
        <family val="2"/>
      </rPr>
      <t>+</t>
    </r>
    <r>
      <rPr>
        <i/>
        <sz val="12"/>
        <rFont val="Arial"/>
        <family val="2"/>
      </rPr>
      <t>S</t>
    </r>
    <r>
      <rPr>
        <vertAlign val="subscript"/>
        <sz val="12"/>
        <rFont val="Arial"/>
        <family val="2"/>
      </rPr>
      <t>S</t>
    </r>
    <r>
      <rPr>
        <sz val="12"/>
        <rFont val="Arial"/>
        <family val="2"/>
      </rPr>
      <t>)]*</t>
    </r>
    <r>
      <rPr>
        <i/>
        <sz val="12"/>
        <rFont val="Arial"/>
        <family val="2"/>
      </rPr>
      <t>X</t>
    </r>
    <r>
      <rPr>
        <vertAlign val="subscript"/>
        <sz val="12"/>
        <rFont val="Arial"/>
        <family val="2"/>
      </rPr>
      <t>H</t>
    </r>
  </si>
  <si>
    <r>
      <t>Aerobic growth of X</t>
    </r>
    <r>
      <rPr>
        <b/>
        <vertAlign val="subscript"/>
        <sz val="11"/>
        <rFont val="Arial"/>
        <family val="2"/>
      </rPr>
      <t>H</t>
    </r>
  </si>
  <si>
    <r>
      <t>-(1-</t>
    </r>
    <r>
      <rPr>
        <i/>
        <sz val="12"/>
        <rFont val="Arial"/>
        <family val="2"/>
      </rPr>
      <t>Y</t>
    </r>
    <r>
      <rPr>
        <vertAlign val="subscript"/>
        <sz val="12"/>
        <rFont val="Arial"/>
        <family val="2"/>
      </rPr>
      <t>H,O2</t>
    </r>
    <r>
      <rPr>
        <sz val="12"/>
        <rFont val="Arial"/>
        <family val="2"/>
      </rPr>
      <t>)/</t>
    </r>
    <r>
      <rPr>
        <i/>
        <sz val="12"/>
        <rFont val="Arial"/>
        <family val="2"/>
      </rPr>
      <t>Y</t>
    </r>
    <r>
      <rPr>
        <vertAlign val="subscript"/>
        <sz val="12"/>
        <rFont val="Arial"/>
        <family val="2"/>
      </rPr>
      <t>H,O2</t>
    </r>
  </si>
  <si>
    <r>
      <t>-</t>
    </r>
    <r>
      <rPr>
        <i/>
        <sz val="12"/>
        <rFont val="Arial"/>
        <family val="2"/>
      </rPr>
      <t>i</t>
    </r>
    <r>
      <rPr>
        <vertAlign val="subscript"/>
        <sz val="12"/>
        <rFont val="Arial"/>
        <family val="2"/>
      </rPr>
      <t>N,BM</t>
    </r>
  </si>
  <si>
    <r>
      <t>v</t>
    </r>
    <r>
      <rPr>
        <vertAlign val="subscript"/>
        <sz val="12"/>
        <rFont val="Arial"/>
        <family val="2"/>
      </rPr>
      <t>4_NH4</t>
    </r>
    <r>
      <rPr>
        <sz val="12"/>
        <rFont val="Arial"/>
        <family val="2"/>
      </rPr>
      <t>*</t>
    </r>
    <r>
      <rPr>
        <i/>
        <sz val="12"/>
        <rFont val="Arial"/>
        <family val="2"/>
      </rPr>
      <t>i</t>
    </r>
    <r>
      <rPr>
        <vertAlign val="subscript"/>
        <sz val="12"/>
        <rFont val="Arial"/>
        <family val="2"/>
      </rPr>
      <t>Charge_NHx</t>
    </r>
  </si>
  <si>
    <r>
      <t>-1/</t>
    </r>
    <r>
      <rPr>
        <i/>
        <sz val="12"/>
        <rFont val="Arial"/>
        <family val="2"/>
      </rPr>
      <t>Y</t>
    </r>
    <r>
      <rPr>
        <vertAlign val="subscript"/>
        <sz val="12"/>
        <rFont val="Arial"/>
        <family val="2"/>
      </rPr>
      <t>H,O2</t>
    </r>
  </si>
  <si>
    <r>
      <t>(-1/</t>
    </r>
    <r>
      <rPr>
        <i/>
        <sz val="12"/>
        <rFont val="Arial"/>
        <family val="2"/>
      </rPr>
      <t>Y</t>
    </r>
    <r>
      <rPr>
        <vertAlign val="subscript"/>
        <sz val="12"/>
        <rFont val="Arial"/>
        <family val="2"/>
      </rPr>
      <t>H,O2</t>
    </r>
    <r>
      <rPr>
        <sz val="12"/>
        <rFont val="Arial"/>
        <family val="2"/>
      </rPr>
      <t>)*</t>
    </r>
    <r>
      <rPr>
        <i/>
        <sz val="12"/>
        <rFont val="Arial"/>
        <family val="2"/>
      </rPr>
      <t>i</t>
    </r>
    <r>
      <rPr>
        <vertAlign val="subscript"/>
        <sz val="12"/>
        <rFont val="Arial"/>
        <family val="2"/>
      </rPr>
      <t>SS,STO</t>
    </r>
    <r>
      <rPr>
        <sz val="12"/>
        <rFont val="Arial"/>
        <family val="2"/>
      </rPr>
      <t>+</t>
    </r>
    <r>
      <rPr>
        <i/>
        <sz val="12"/>
        <rFont val="Arial"/>
        <family val="2"/>
      </rPr>
      <t>i</t>
    </r>
    <r>
      <rPr>
        <vertAlign val="subscript"/>
        <sz val="12"/>
        <rFont val="Arial"/>
        <family val="2"/>
      </rPr>
      <t>SS,BM</t>
    </r>
  </si>
  <si>
    <r>
      <t>μ</t>
    </r>
    <r>
      <rPr>
        <vertAlign val="subscript"/>
        <sz val="12"/>
        <rFont val="Arial"/>
        <family val="2"/>
      </rPr>
      <t>H</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O2</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NH4</t>
    </r>
    <r>
      <rPr>
        <sz val="12"/>
        <rFont val="Arial"/>
        <family val="2"/>
      </rPr>
      <t>/(</t>
    </r>
    <r>
      <rPr>
        <i/>
        <sz val="12"/>
        <rFont val="Arial"/>
        <family val="2"/>
      </rPr>
      <t>K</t>
    </r>
    <r>
      <rPr>
        <vertAlign val="subscript"/>
        <sz val="12"/>
        <rFont val="Arial"/>
        <family val="2"/>
      </rPr>
      <t>NH4</t>
    </r>
    <r>
      <rPr>
        <sz val="12"/>
        <rFont val="Arial"/>
        <family val="2"/>
      </rPr>
      <t>+</t>
    </r>
    <r>
      <rPr>
        <i/>
        <sz val="12"/>
        <rFont val="Arial"/>
        <family val="2"/>
      </rPr>
      <t>S</t>
    </r>
    <r>
      <rPr>
        <vertAlign val="subscript"/>
        <sz val="12"/>
        <rFont val="Arial"/>
        <family val="2"/>
      </rPr>
      <t>NH4</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K</t>
    </r>
    <r>
      <rPr>
        <vertAlign val="subscript"/>
        <sz val="12"/>
        <rFont val="Arial"/>
        <family val="2"/>
      </rPr>
      <t>ALK_H</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X</t>
    </r>
    <r>
      <rPr>
        <vertAlign val="subscript"/>
        <sz val="12"/>
        <rFont val="Arial"/>
        <family val="2"/>
      </rPr>
      <t>STO</t>
    </r>
    <r>
      <rPr>
        <sz val="12"/>
        <rFont val="Arial"/>
        <family val="2"/>
      </rPr>
      <t>/</t>
    </r>
    <r>
      <rPr>
        <i/>
        <sz val="12"/>
        <rFont val="Arial"/>
        <family val="2"/>
      </rPr>
      <t>X</t>
    </r>
    <r>
      <rPr>
        <vertAlign val="subscript"/>
        <sz val="12"/>
        <rFont val="Arial"/>
        <family val="2"/>
      </rPr>
      <t>H</t>
    </r>
    <r>
      <rPr>
        <sz val="12"/>
        <rFont val="Arial"/>
        <family val="2"/>
      </rPr>
      <t>)/(</t>
    </r>
    <r>
      <rPr>
        <i/>
        <sz val="12"/>
        <rFont val="Arial"/>
        <family val="2"/>
      </rPr>
      <t>K</t>
    </r>
    <r>
      <rPr>
        <vertAlign val="subscript"/>
        <sz val="12"/>
        <rFont val="Arial"/>
        <family val="2"/>
      </rPr>
      <t>STO</t>
    </r>
    <r>
      <rPr>
        <sz val="12"/>
        <rFont val="Arial"/>
        <family val="2"/>
      </rPr>
      <t>+</t>
    </r>
    <r>
      <rPr>
        <i/>
        <sz val="12"/>
        <rFont val="Arial"/>
        <family val="2"/>
      </rPr>
      <t>X</t>
    </r>
    <r>
      <rPr>
        <vertAlign val="subscript"/>
        <sz val="12"/>
        <rFont val="Arial"/>
        <family val="2"/>
      </rPr>
      <t>STO</t>
    </r>
    <r>
      <rPr>
        <sz val="12"/>
        <rFont val="Arial"/>
        <family val="2"/>
      </rPr>
      <t>/</t>
    </r>
    <r>
      <rPr>
        <i/>
        <sz val="12"/>
        <rFont val="Arial"/>
        <family val="2"/>
      </rPr>
      <t>X</t>
    </r>
    <r>
      <rPr>
        <vertAlign val="subscript"/>
        <sz val="12"/>
        <rFont val="Arial"/>
        <family val="2"/>
      </rPr>
      <t>H</t>
    </r>
    <r>
      <rPr>
        <sz val="12"/>
        <rFont val="Arial"/>
        <family val="2"/>
      </rPr>
      <t>)]*</t>
    </r>
    <r>
      <rPr>
        <i/>
        <sz val="12"/>
        <rFont val="Arial"/>
        <family val="2"/>
      </rPr>
      <t>X</t>
    </r>
    <r>
      <rPr>
        <vertAlign val="subscript"/>
        <sz val="12"/>
        <rFont val="Arial"/>
        <family val="2"/>
      </rPr>
      <t>H</t>
    </r>
  </si>
  <si>
    <r>
      <t>Anoxic growth of X</t>
    </r>
    <r>
      <rPr>
        <b/>
        <vertAlign val="subscript"/>
        <sz val="11"/>
        <rFont val="Arial"/>
        <family val="2"/>
      </rPr>
      <t xml:space="preserve">H </t>
    </r>
    <r>
      <rPr>
        <b/>
        <sz val="11"/>
        <rFont val="Arial"/>
        <family val="2"/>
      </rPr>
      <t>(denitrification)</t>
    </r>
  </si>
  <si>
    <r>
      <t>-(1-</t>
    </r>
    <r>
      <rPr>
        <i/>
        <sz val="12"/>
        <rFont val="Arial"/>
        <family val="2"/>
      </rPr>
      <t>Y</t>
    </r>
    <r>
      <rPr>
        <vertAlign val="subscript"/>
        <sz val="12"/>
        <rFont val="Arial"/>
        <family val="2"/>
      </rPr>
      <t>H,NOX</t>
    </r>
    <r>
      <rPr>
        <sz val="12"/>
        <rFont val="Arial"/>
        <family val="2"/>
      </rPr>
      <t>)/</t>
    </r>
    <r>
      <rPr>
        <i/>
        <sz val="12"/>
        <rFont val="Arial"/>
        <family val="2"/>
      </rPr>
      <t>Y</t>
    </r>
    <r>
      <rPr>
        <vertAlign val="subscript"/>
        <sz val="12"/>
        <rFont val="Arial"/>
        <family val="2"/>
      </rPr>
      <t>H,NOX</t>
    </r>
    <r>
      <rPr>
        <sz val="12"/>
        <rFont val="Arial"/>
        <family val="2"/>
      </rPr>
      <t>*(1/</t>
    </r>
    <r>
      <rPr>
        <i/>
        <sz val="12"/>
        <rFont val="Arial"/>
        <family val="2"/>
      </rPr>
      <t>i</t>
    </r>
    <r>
      <rPr>
        <vertAlign val="subscript"/>
        <sz val="12"/>
        <rFont val="Arial"/>
        <family val="2"/>
      </rPr>
      <t>NOx.N2</t>
    </r>
    <r>
      <rPr>
        <sz val="12"/>
        <rFont val="Arial"/>
        <family val="2"/>
      </rPr>
      <t>)</t>
    </r>
  </si>
  <si>
    <r>
      <t>(1-</t>
    </r>
    <r>
      <rPr>
        <i/>
        <sz val="12"/>
        <rFont val="Arial"/>
        <family val="2"/>
      </rPr>
      <t>Y</t>
    </r>
    <r>
      <rPr>
        <vertAlign val="subscript"/>
        <sz val="12"/>
        <rFont val="Arial"/>
        <family val="2"/>
      </rPr>
      <t>H,NOX</t>
    </r>
    <r>
      <rPr>
        <sz val="12"/>
        <rFont val="Arial"/>
        <family val="2"/>
      </rPr>
      <t>)/</t>
    </r>
    <r>
      <rPr>
        <i/>
        <sz val="12"/>
        <rFont val="Arial"/>
        <family val="2"/>
      </rPr>
      <t>Y</t>
    </r>
    <r>
      <rPr>
        <vertAlign val="subscript"/>
        <sz val="12"/>
        <rFont val="Arial"/>
        <family val="2"/>
      </rPr>
      <t>H,NOX</t>
    </r>
    <r>
      <rPr>
        <sz val="12"/>
        <rFont val="Arial"/>
        <family val="2"/>
      </rPr>
      <t>*(1/</t>
    </r>
    <r>
      <rPr>
        <i/>
        <sz val="12"/>
        <rFont val="Arial"/>
        <family val="2"/>
      </rPr>
      <t>i</t>
    </r>
    <r>
      <rPr>
        <vertAlign val="subscript"/>
        <sz val="12"/>
        <rFont val="Arial"/>
        <family val="2"/>
      </rPr>
      <t>NOx.N2</t>
    </r>
    <r>
      <rPr>
        <sz val="12"/>
        <rFont val="Arial"/>
        <family val="2"/>
      </rPr>
      <t>)</t>
    </r>
  </si>
  <si>
    <r>
      <t>v</t>
    </r>
    <r>
      <rPr>
        <vertAlign val="subscript"/>
        <sz val="12"/>
        <rFont val="Arial"/>
        <family val="2"/>
      </rPr>
      <t>5_NH4</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5_NOX</t>
    </r>
    <r>
      <rPr>
        <sz val="12"/>
        <rFont val="Arial"/>
        <family val="2"/>
      </rPr>
      <t>*</t>
    </r>
    <r>
      <rPr>
        <i/>
        <sz val="12"/>
        <rFont val="Arial"/>
        <family val="2"/>
      </rPr>
      <t>i</t>
    </r>
    <r>
      <rPr>
        <vertAlign val="subscript"/>
        <sz val="12"/>
        <rFont val="Arial"/>
        <family val="2"/>
      </rPr>
      <t>Charge_NOx</t>
    </r>
  </si>
  <si>
    <r>
      <t>-1/</t>
    </r>
    <r>
      <rPr>
        <i/>
        <sz val="12"/>
        <rFont val="Arial"/>
        <family val="2"/>
      </rPr>
      <t>Y</t>
    </r>
    <r>
      <rPr>
        <vertAlign val="subscript"/>
        <sz val="12"/>
        <rFont val="Arial"/>
        <family val="2"/>
      </rPr>
      <t>H,NOX</t>
    </r>
  </si>
  <si>
    <r>
      <t>(-1/</t>
    </r>
    <r>
      <rPr>
        <i/>
        <sz val="12"/>
        <rFont val="Arial"/>
        <family val="2"/>
      </rPr>
      <t>Y</t>
    </r>
    <r>
      <rPr>
        <vertAlign val="subscript"/>
        <sz val="12"/>
        <rFont val="Arial"/>
        <family val="2"/>
      </rPr>
      <t>H,NOX</t>
    </r>
    <r>
      <rPr>
        <sz val="12"/>
        <rFont val="Arial"/>
        <family val="2"/>
      </rPr>
      <t>)*</t>
    </r>
    <r>
      <rPr>
        <i/>
        <sz val="12"/>
        <rFont val="Arial"/>
        <family val="2"/>
      </rPr>
      <t>i</t>
    </r>
    <r>
      <rPr>
        <vertAlign val="subscript"/>
        <sz val="12"/>
        <rFont val="Arial"/>
        <family val="2"/>
      </rPr>
      <t>SS,STO</t>
    </r>
    <r>
      <rPr>
        <sz val="12"/>
        <rFont val="Arial"/>
        <family val="2"/>
      </rPr>
      <t>+</t>
    </r>
    <r>
      <rPr>
        <i/>
        <sz val="12"/>
        <rFont val="Arial"/>
        <family val="2"/>
      </rPr>
      <t>i</t>
    </r>
    <r>
      <rPr>
        <vertAlign val="subscript"/>
        <sz val="12"/>
        <rFont val="Arial"/>
        <family val="2"/>
      </rPr>
      <t>SS,BM</t>
    </r>
  </si>
  <si>
    <r>
      <t>μ</t>
    </r>
    <r>
      <rPr>
        <vertAlign val="subscript"/>
        <sz val="12"/>
        <rFont val="Arial"/>
        <family val="2"/>
      </rPr>
      <t>H</t>
    </r>
    <r>
      <rPr>
        <sz val="12"/>
        <rFont val="Arial"/>
        <family val="2"/>
      </rPr>
      <t>*</t>
    </r>
    <r>
      <rPr>
        <i/>
        <sz val="12"/>
        <rFont val="Arial"/>
        <family val="2"/>
      </rPr>
      <t>η</t>
    </r>
    <r>
      <rPr>
        <vertAlign val="subscript"/>
        <sz val="12"/>
        <rFont val="Arial"/>
        <family val="2"/>
      </rPr>
      <t>NOX</t>
    </r>
    <r>
      <rPr>
        <sz val="12"/>
        <rFont val="Arial"/>
        <family val="2"/>
      </rPr>
      <t>*[</t>
    </r>
    <r>
      <rPr>
        <i/>
        <sz val="12"/>
        <rFont val="Arial"/>
        <family val="2"/>
      </rPr>
      <t>K</t>
    </r>
    <r>
      <rPr>
        <vertAlign val="subscript"/>
        <sz val="12"/>
        <rFont val="Arial"/>
        <family val="2"/>
      </rPr>
      <t>O2</t>
    </r>
    <r>
      <rPr>
        <sz val="12"/>
        <rFont val="Arial"/>
        <family val="2"/>
      </rPr>
      <t>/(</t>
    </r>
    <r>
      <rPr>
        <i/>
        <sz val="12"/>
        <rFont val="Arial"/>
        <family val="2"/>
      </rPr>
      <t>K</t>
    </r>
    <r>
      <rPr>
        <vertAlign val="subscript"/>
        <sz val="12"/>
        <rFont val="Arial"/>
        <family val="2"/>
      </rPr>
      <t>O2</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K</t>
    </r>
    <r>
      <rPr>
        <vertAlign val="subscript"/>
        <sz val="12"/>
        <rFont val="Arial"/>
        <family val="2"/>
      </rPr>
      <t>NOX</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S</t>
    </r>
    <r>
      <rPr>
        <vertAlign val="subscript"/>
        <sz val="12"/>
        <rFont val="Arial"/>
        <family val="2"/>
      </rPr>
      <t>NH4</t>
    </r>
    <r>
      <rPr>
        <sz val="12"/>
        <rFont val="Arial"/>
        <family val="2"/>
      </rPr>
      <t>/(</t>
    </r>
    <r>
      <rPr>
        <i/>
        <sz val="12"/>
        <rFont val="Arial"/>
        <family val="2"/>
      </rPr>
      <t>K</t>
    </r>
    <r>
      <rPr>
        <vertAlign val="subscript"/>
        <sz val="12"/>
        <rFont val="Arial"/>
        <family val="2"/>
      </rPr>
      <t>NH4</t>
    </r>
    <r>
      <rPr>
        <sz val="12"/>
        <rFont val="Arial"/>
        <family val="2"/>
      </rPr>
      <t>+</t>
    </r>
    <r>
      <rPr>
        <i/>
        <sz val="12"/>
        <rFont val="Arial"/>
        <family val="2"/>
      </rPr>
      <t>S</t>
    </r>
    <r>
      <rPr>
        <vertAlign val="subscript"/>
        <sz val="12"/>
        <rFont val="Arial"/>
        <family val="2"/>
      </rPr>
      <t>NH4</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K</t>
    </r>
    <r>
      <rPr>
        <vertAlign val="subscript"/>
        <sz val="12"/>
        <rFont val="Arial"/>
        <family val="2"/>
      </rPr>
      <t>ALK</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X</t>
    </r>
    <r>
      <rPr>
        <vertAlign val="subscript"/>
        <sz val="12"/>
        <rFont val="Arial"/>
        <family val="2"/>
      </rPr>
      <t>STO</t>
    </r>
    <r>
      <rPr>
        <sz val="12"/>
        <rFont val="Arial"/>
        <family val="2"/>
      </rPr>
      <t>/</t>
    </r>
    <r>
      <rPr>
        <i/>
        <sz val="12"/>
        <rFont val="Arial"/>
        <family val="2"/>
      </rPr>
      <t>X</t>
    </r>
    <r>
      <rPr>
        <vertAlign val="subscript"/>
        <sz val="12"/>
        <rFont val="Arial"/>
        <family val="2"/>
      </rPr>
      <t>H</t>
    </r>
    <r>
      <rPr>
        <sz val="12"/>
        <rFont val="Arial"/>
        <family val="2"/>
      </rPr>
      <t>)/(</t>
    </r>
    <r>
      <rPr>
        <i/>
        <sz val="12"/>
        <rFont val="Arial"/>
        <family val="2"/>
      </rPr>
      <t>K</t>
    </r>
    <r>
      <rPr>
        <vertAlign val="subscript"/>
        <sz val="12"/>
        <rFont val="Arial"/>
        <family val="2"/>
      </rPr>
      <t>STO</t>
    </r>
    <r>
      <rPr>
        <sz val="12"/>
        <rFont val="Arial"/>
        <family val="2"/>
      </rPr>
      <t>+</t>
    </r>
    <r>
      <rPr>
        <i/>
        <sz val="12"/>
        <rFont val="Arial"/>
        <family val="2"/>
      </rPr>
      <t>X</t>
    </r>
    <r>
      <rPr>
        <vertAlign val="subscript"/>
        <sz val="12"/>
        <rFont val="Arial"/>
        <family val="2"/>
      </rPr>
      <t>STO</t>
    </r>
    <r>
      <rPr>
        <sz val="12"/>
        <rFont val="Arial"/>
        <family val="2"/>
      </rPr>
      <t>/</t>
    </r>
    <r>
      <rPr>
        <i/>
        <sz val="12"/>
        <rFont val="Arial"/>
        <family val="2"/>
      </rPr>
      <t>X</t>
    </r>
    <r>
      <rPr>
        <vertAlign val="subscript"/>
        <sz val="12"/>
        <rFont val="Arial"/>
        <family val="2"/>
      </rPr>
      <t>H</t>
    </r>
    <r>
      <rPr>
        <sz val="12"/>
        <rFont val="Arial"/>
        <family val="2"/>
      </rPr>
      <t>)]*</t>
    </r>
    <r>
      <rPr>
        <i/>
        <sz val="12"/>
        <rFont val="Arial"/>
        <family val="2"/>
      </rPr>
      <t>X</t>
    </r>
    <r>
      <rPr>
        <vertAlign val="subscript"/>
        <sz val="12"/>
        <rFont val="Arial"/>
        <family val="2"/>
      </rPr>
      <t>H</t>
    </r>
  </si>
  <si>
    <r>
      <t>Aerobic endogenous respiration of X</t>
    </r>
    <r>
      <rPr>
        <b/>
        <vertAlign val="subscript"/>
        <sz val="11"/>
        <rFont val="Arial"/>
        <family val="2"/>
      </rPr>
      <t>H</t>
    </r>
  </si>
  <si>
    <r>
      <t>-(1-</t>
    </r>
    <r>
      <rPr>
        <i/>
        <sz val="12"/>
        <rFont val="Arial"/>
        <family val="2"/>
      </rPr>
      <t>f</t>
    </r>
    <r>
      <rPr>
        <vertAlign val="subscript"/>
        <sz val="12"/>
        <rFont val="Arial"/>
        <family val="2"/>
      </rPr>
      <t>XI</t>
    </r>
    <r>
      <rPr>
        <sz val="12"/>
        <rFont val="Arial"/>
        <family val="2"/>
      </rPr>
      <t>)</t>
    </r>
  </si>
  <si>
    <r>
      <t>-</t>
    </r>
    <r>
      <rPr>
        <i/>
        <sz val="12"/>
        <rFont val="Arial"/>
        <family val="2"/>
      </rPr>
      <t>f</t>
    </r>
    <r>
      <rPr>
        <vertAlign val="subscript"/>
        <sz val="12"/>
        <rFont val="Arial"/>
        <family val="2"/>
      </rPr>
      <t>XI</t>
    </r>
    <r>
      <rPr>
        <sz val="12"/>
        <rFont val="Arial"/>
        <family val="2"/>
      </rPr>
      <t>*</t>
    </r>
    <r>
      <rPr>
        <i/>
        <sz val="12"/>
        <rFont val="Arial"/>
        <family val="2"/>
      </rPr>
      <t>i</t>
    </r>
    <r>
      <rPr>
        <vertAlign val="subscript"/>
        <sz val="12"/>
        <rFont val="Arial"/>
        <family val="2"/>
      </rPr>
      <t>N,XI</t>
    </r>
    <r>
      <rPr>
        <sz val="12"/>
        <rFont val="Arial"/>
        <family val="2"/>
      </rPr>
      <t>+</t>
    </r>
    <r>
      <rPr>
        <i/>
        <sz val="12"/>
        <rFont val="Arial"/>
        <family val="2"/>
      </rPr>
      <t>i</t>
    </r>
    <r>
      <rPr>
        <vertAlign val="subscript"/>
        <sz val="12"/>
        <rFont val="Arial"/>
        <family val="2"/>
      </rPr>
      <t>N,BM</t>
    </r>
  </si>
  <si>
    <r>
      <t>v</t>
    </r>
    <r>
      <rPr>
        <vertAlign val="subscript"/>
        <sz val="12"/>
        <rFont val="Arial"/>
        <family val="2"/>
      </rPr>
      <t>6_NH4</t>
    </r>
    <r>
      <rPr>
        <sz val="12"/>
        <rFont val="Arial"/>
        <family val="2"/>
      </rPr>
      <t>*</t>
    </r>
    <r>
      <rPr>
        <i/>
        <sz val="12"/>
        <rFont val="Arial"/>
        <family val="2"/>
      </rPr>
      <t>i</t>
    </r>
    <r>
      <rPr>
        <vertAlign val="subscript"/>
        <sz val="12"/>
        <rFont val="Arial"/>
        <family val="2"/>
      </rPr>
      <t>Charge_NHx</t>
    </r>
  </si>
  <si>
    <r>
      <t>-</t>
    </r>
    <r>
      <rPr>
        <i/>
        <sz val="12"/>
        <rFont val="Arial"/>
        <family val="2"/>
      </rPr>
      <t>i</t>
    </r>
    <r>
      <rPr>
        <vertAlign val="subscript"/>
        <sz val="12"/>
        <rFont val="Arial"/>
        <family val="2"/>
      </rPr>
      <t>SS,BM</t>
    </r>
    <r>
      <rPr>
        <sz val="12"/>
        <rFont val="Arial"/>
        <family val="2"/>
      </rPr>
      <t>+</t>
    </r>
    <r>
      <rPr>
        <i/>
        <sz val="12"/>
        <rFont val="Arial"/>
        <family val="2"/>
      </rPr>
      <t>f</t>
    </r>
    <r>
      <rPr>
        <vertAlign val="subscript"/>
        <sz val="12"/>
        <rFont val="Arial"/>
        <family val="2"/>
      </rPr>
      <t>XI</t>
    </r>
    <r>
      <rPr>
        <sz val="12"/>
        <rFont val="Arial"/>
        <family val="2"/>
      </rPr>
      <t>*</t>
    </r>
    <r>
      <rPr>
        <i/>
        <sz val="12"/>
        <rFont val="Arial"/>
        <family val="2"/>
      </rPr>
      <t>i</t>
    </r>
    <r>
      <rPr>
        <vertAlign val="subscript"/>
        <sz val="12"/>
        <rFont val="Arial"/>
        <family val="2"/>
      </rPr>
      <t>SS,XI</t>
    </r>
  </si>
  <si>
    <r>
      <t>b</t>
    </r>
    <r>
      <rPr>
        <vertAlign val="subscript"/>
        <sz val="12"/>
        <rFont val="Arial"/>
        <family val="2"/>
      </rPr>
      <t>H,O2</t>
    </r>
    <r>
      <rPr>
        <sz val="11"/>
        <rFont val="Arial"/>
        <family val="2"/>
      </rPr>
      <t>*</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O2</t>
    </r>
    <r>
      <rPr>
        <sz val="11"/>
        <rFont val="Arial"/>
        <family val="2"/>
      </rPr>
      <t>+</t>
    </r>
    <r>
      <rPr>
        <i/>
        <sz val="12"/>
        <rFont val="Arial"/>
        <family val="2"/>
      </rPr>
      <t>S</t>
    </r>
    <r>
      <rPr>
        <vertAlign val="subscript"/>
        <sz val="12"/>
        <rFont val="Arial"/>
        <family val="2"/>
      </rPr>
      <t>O2</t>
    </r>
    <r>
      <rPr>
        <sz val="12"/>
        <rFont val="Arial"/>
        <family val="2"/>
      </rPr>
      <t>)]*</t>
    </r>
    <r>
      <rPr>
        <i/>
        <sz val="12"/>
        <rFont val="Arial"/>
        <family val="2"/>
      </rPr>
      <t>X</t>
    </r>
    <r>
      <rPr>
        <vertAlign val="subscript"/>
        <sz val="12"/>
        <rFont val="Arial"/>
        <family val="2"/>
      </rPr>
      <t>H</t>
    </r>
  </si>
  <si>
    <r>
      <t>Anoxic endogenous respiration of X</t>
    </r>
    <r>
      <rPr>
        <b/>
        <vertAlign val="subscript"/>
        <sz val="11"/>
        <rFont val="Arial"/>
        <family val="2"/>
      </rPr>
      <t>H</t>
    </r>
  </si>
  <si>
    <r>
      <t>-(1-</t>
    </r>
    <r>
      <rPr>
        <i/>
        <sz val="12"/>
        <rFont val="Arial"/>
        <family val="2"/>
      </rPr>
      <t>f</t>
    </r>
    <r>
      <rPr>
        <vertAlign val="subscript"/>
        <sz val="12"/>
        <rFont val="Arial"/>
        <family val="2"/>
      </rPr>
      <t>XI</t>
    </r>
    <r>
      <rPr>
        <sz val="12"/>
        <rFont val="Arial"/>
        <family val="2"/>
      </rPr>
      <t>)/(</t>
    </r>
    <r>
      <rPr>
        <i/>
        <sz val="12"/>
        <rFont val="Arial"/>
        <family val="2"/>
      </rPr>
      <t>i</t>
    </r>
    <r>
      <rPr>
        <vertAlign val="subscript"/>
        <sz val="12"/>
        <rFont val="Arial"/>
        <family val="2"/>
      </rPr>
      <t>NOx.N2</t>
    </r>
    <r>
      <rPr>
        <sz val="12"/>
        <rFont val="Arial"/>
        <family val="2"/>
      </rPr>
      <t>)</t>
    </r>
  </si>
  <si>
    <r>
      <t>(1-</t>
    </r>
    <r>
      <rPr>
        <i/>
        <sz val="12"/>
        <rFont val="Arial"/>
        <family val="2"/>
      </rPr>
      <t>f</t>
    </r>
    <r>
      <rPr>
        <vertAlign val="subscript"/>
        <sz val="12"/>
        <rFont val="Arial"/>
        <family val="2"/>
      </rPr>
      <t>XI</t>
    </r>
    <r>
      <rPr>
        <sz val="12"/>
        <rFont val="Arial"/>
        <family val="2"/>
      </rPr>
      <t>)/(</t>
    </r>
    <r>
      <rPr>
        <i/>
        <sz val="12"/>
        <rFont val="Arial"/>
        <family val="2"/>
      </rPr>
      <t>i</t>
    </r>
    <r>
      <rPr>
        <vertAlign val="subscript"/>
        <sz val="12"/>
        <rFont val="Arial"/>
        <family val="2"/>
      </rPr>
      <t>NOx.N2</t>
    </r>
    <r>
      <rPr>
        <sz val="12"/>
        <rFont val="Arial"/>
        <family val="2"/>
      </rPr>
      <t>)</t>
    </r>
  </si>
  <si>
    <r>
      <t>v</t>
    </r>
    <r>
      <rPr>
        <vertAlign val="subscript"/>
        <sz val="12"/>
        <rFont val="Arial"/>
        <family val="2"/>
      </rPr>
      <t>7_NOX</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v</t>
    </r>
    <r>
      <rPr>
        <vertAlign val="subscript"/>
        <sz val="12"/>
        <rFont val="Arial"/>
        <family val="2"/>
      </rPr>
      <t>7_NH4</t>
    </r>
    <r>
      <rPr>
        <sz val="12"/>
        <rFont val="Arial"/>
        <family val="2"/>
      </rPr>
      <t>*</t>
    </r>
    <r>
      <rPr>
        <i/>
        <sz val="12"/>
        <rFont val="Arial"/>
        <family val="2"/>
      </rPr>
      <t>i</t>
    </r>
    <r>
      <rPr>
        <vertAlign val="subscript"/>
        <sz val="12"/>
        <rFont val="Arial"/>
        <family val="2"/>
      </rPr>
      <t>Charge_NHx</t>
    </r>
  </si>
  <si>
    <r>
      <t>b</t>
    </r>
    <r>
      <rPr>
        <vertAlign val="subscript"/>
        <sz val="12"/>
        <rFont val="Arial"/>
        <family val="2"/>
      </rPr>
      <t>H,NOX</t>
    </r>
    <r>
      <rPr>
        <sz val="11"/>
        <rFont val="Arial"/>
        <family val="2"/>
      </rPr>
      <t>*</t>
    </r>
    <r>
      <rPr>
        <sz val="12"/>
        <rFont val="Arial"/>
        <family val="2"/>
      </rPr>
      <t>[</t>
    </r>
    <r>
      <rPr>
        <i/>
        <sz val="12"/>
        <rFont val="Arial"/>
        <family val="2"/>
      </rPr>
      <t>K</t>
    </r>
    <r>
      <rPr>
        <vertAlign val="subscript"/>
        <sz val="12"/>
        <rFont val="Arial"/>
        <family val="2"/>
      </rPr>
      <t>O2</t>
    </r>
    <r>
      <rPr>
        <sz val="12"/>
        <rFont val="Arial"/>
        <family val="2"/>
      </rPr>
      <t>/(</t>
    </r>
    <r>
      <rPr>
        <i/>
        <sz val="12"/>
        <rFont val="Arial"/>
        <family val="2"/>
      </rPr>
      <t>K</t>
    </r>
    <r>
      <rPr>
        <vertAlign val="subscript"/>
        <sz val="12"/>
        <rFont val="Arial"/>
        <family val="2"/>
      </rPr>
      <t>O2</t>
    </r>
    <r>
      <rPr>
        <sz val="11"/>
        <rFont val="Arial"/>
        <family val="2"/>
      </rPr>
      <t>+</t>
    </r>
    <r>
      <rPr>
        <i/>
        <sz val="12"/>
        <rFont val="Arial"/>
        <family val="2"/>
      </rPr>
      <t>S</t>
    </r>
    <r>
      <rPr>
        <vertAlign val="subscript"/>
        <sz val="12"/>
        <rFont val="Arial"/>
        <family val="2"/>
      </rPr>
      <t>O2</t>
    </r>
    <r>
      <rPr>
        <sz val="12"/>
        <rFont val="Arial"/>
        <family val="2"/>
      </rPr>
      <t>)]*</t>
    </r>
    <r>
      <rPr>
        <sz val="11"/>
        <rFont val="Arial"/>
        <family val="2"/>
      </rPr>
      <t>[</t>
    </r>
    <r>
      <rPr>
        <i/>
        <sz val="12"/>
        <rFont val="Arial"/>
        <family val="2"/>
      </rPr>
      <t>S</t>
    </r>
    <r>
      <rPr>
        <vertAlign val="subscript"/>
        <sz val="12"/>
        <rFont val="Arial"/>
        <family val="2"/>
      </rPr>
      <t>NOX</t>
    </r>
    <r>
      <rPr>
        <sz val="11"/>
        <rFont val="Arial"/>
        <family val="2"/>
      </rPr>
      <t>/</t>
    </r>
    <r>
      <rPr>
        <sz val="12"/>
        <rFont val="Arial"/>
        <family val="2"/>
      </rPr>
      <t>(</t>
    </r>
    <r>
      <rPr>
        <i/>
        <sz val="12"/>
        <rFont val="Arial"/>
        <family val="2"/>
      </rPr>
      <t>K</t>
    </r>
    <r>
      <rPr>
        <vertAlign val="subscript"/>
        <sz val="12"/>
        <rFont val="Arial"/>
        <family val="2"/>
      </rPr>
      <t>NOX</t>
    </r>
    <r>
      <rPr>
        <sz val="11"/>
        <rFont val="Arial"/>
        <family val="2"/>
      </rPr>
      <t>+</t>
    </r>
    <r>
      <rPr>
        <i/>
        <sz val="12"/>
        <rFont val="Arial"/>
        <family val="2"/>
      </rPr>
      <t>S</t>
    </r>
    <r>
      <rPr>
        <vertAlign val="subscript"/>
        <sz val="12"/>
        <rFont val="Arial"/>
        <family val="2"/>
      </rPr>
      <t>NOX</t>
    </r>
    <r>
      <rPr>
        <sz val="12"/>
        <rFont val="Arial"/>
        <family val="2"/>
      </rPr>
      <t>)]*</t>
    </r>
    <r>
      <rPr>
        <i/>
        <sz val="12"/>
        <rFont val="Arial"/>
        <family val="2"/>
      </rPr>
      <t>X</t>
    </r>
    <r>
      <rPr>
        <vertAlign val="subscript"/>
        <sz val="12"/>
        <rFont val="Arial"/>
        <family val="2"/>
      </rPr>
      <t>H</t>
    </r>
  </si>
  <si>
    <r>
      <t>Aerobic respiration of X</t>
    </r>
    <r>
      <rPr>
        <b/>
        <vertAlign val="subscript"/>
        <sz val="11"/>
        <rFont val="Arial"/>
        <family val="2"/>
      </rPr>
      <t>STO</t>
    </r>
  </si>
  <si>
    <r>
      <t>-</t>
    </r>
    <r>
      <rPr>
        <i/>
        <sz val="12"/>
        <rFont val="Arial"/>
        <family val="2"/>
      </rPr>
      <t>i</t>
    </r>
    <r>
      <rPr>
        <vertAlign val="subscript"/>
        <sz val="12"/>
        <rFont val="Arial"/>
        <family val="2"/>
      </rPr>
      <t>SS,STO</t>
    </r>
  </si>
  <si>
    <r>
      <t>b</t>
    </r>
    <r>
      <rPr>
        <vertAlign val="subscript"/>
        <sz val="12"/>
        <rFont val="Arial"/>
        <family val="2"/>
      </rPr>
      <t>STO,O2</t>
    </r>
    <r>
      <rPr>
        <sz val="11"/>
        <rFont val="Arial"/>
        <family val="2"/>
      </rPr>
      <t>*</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O2</t>
    </r>
    <r>
      <rPr>
        <sz val="11"/>
        <rFont val="Arial"/>
        <family val="2"/>
      </rPr>
      <t>+</t>
    </r>
    <r>
      <rPr>
        <i/>
        <sz val="12"/>
        <rFont val="Arial"/>
        <family val="2"/>
      </rPr>
      <t>S</t>
    </r>
    <r>
      <rPr>
        <vertAlign val="subscript"/>
        <sz val="12"/>
        <rFont val="Arial"/>
        <family val="2"/>
      </rPr>
      <t>O2</t>
    </r>
    <r>
      <rPr>
        <sz val="12"/>
        <rFont val="Arial"/>
        <family val="2"/>
      </rPr>
      <t>)]</t>
    </r>
    <r>
      <rPr>
        <sz val="11"/>
        <rFont val="Arial"/>
        <family val="2"/>
      </rPr>
      <t>*</t>
    </r>
    <r>
      <rPr>
        <i/>
        <sz val="12"/>
        <rFont val="Arial"/>
        <family val="2"/>
      </rPr>
      <t>X</t>
    </r>
    <r>
      <rPr>
        <vertAlign val="subscript"/>
        <sz val="12"/>
        <rFont val="Arial"/>
        <family val="2"/>
      </rPr>
      <t>STO</t>
    </r>
  </si>
  <si>
    <r>
      <t>Anoxic respiration of X</t>
    </r>
    <r>
      <rPr>
        <b/>
        <vertAlign val="subscript"/>
        <sz val="11"/>
        <rFont val="Arial"/>
        <family val="2"/>
      </rPr>
      <t>STO</t>
    </r>
  </si>
  <si>
    <r>
      <t>-1/(</t>
    </r>
    <r>
      <rPr>
        <i/>
        <sz val="12"/>
        <rFont val="Arial"/>
        <family val="2"/>
      </rPr>
      <t>i</t>
    </r>
    <r>
      <rPr>
        <vertAlign val="subscript"/>
        <sz val="12"/>
        <rFont val="Arial"/>
        <family val="2"/>
      </rPr>
      <t>NOx.N2</t>
    </r>
    <r>
      <rPr>
        <sz val="12"/>
        <rFont val="Arial"/>
        <family val="2"/>
      </rPr>
      <t>)</t>
    </r>
  </si>
  <si>
    <r>
      <t>1/(</t>
    </r>
    <r>
      <rPr>
        <i/>
        <sz val="12"/>
        <rFont val="Arial"/>
        <family val="2"/>
      </rPr>
      <t>i</t>
    </r>
    <r>
      <rPr>
        <vertAlign val="subscript"/>
        <sz val="12"/>
        <rFont val="Arial"/>
        <family val="2"/>
      </rPr>
      <t>NOx.N2</t>
    </r>
    <r>
      <rPr>
        <sz val="12"/>
        <rFont val="Arial"/>
        <family val="2"/>
      </rPr>
      <t>)</t>
    </r>
  </si>
  <si>
    <r>
      <t>v</t>
    </r>
    <r>
      <rPr>
        <vertAlign val="subscript"/>
        <sz val="12"/>
        <rFont val="Arial"/>
        <family val="2"/>
      </rPr>
      <t>9_NOX</t>
    </r>
    <r>
      <rPr>
        <sz val="12"/>
        <rFont val="Arial"/>
        <family val="2"/>
      </rPr>
      <t>*</t>
    </r>
    <r>
      <rPr>
        <i/>
        <sz val="12"/>
        <rFont val="Arial"/>
        <family val="2"/>
      </rPr>
      <t>i</t>
    </r>
    <r>
      <rPr>
        <vertAlign val="subscript"/>
        <sz val="12"/>
        <rFont val="Arial"/>
        <family val="2"/>
      </rPr>
      <t>Charge_NOx</t>
    </r>
  </si>
  <si>
    <r>
      <t>b</t>
    </r>
    <r>
      <rPr>
        <vertAlign val="subscript"/>
        <sz val="12"/>
        <rFont val="Arial"/>
        <family val="2"/>
      </rPr>
      <t>STO,NOX</t>
    </r>
    <r>
      <rPr>
        <sz val="11"/>
        <rFont val="Arial"/>
        <family val="2"/>
      </rPr>
      <t>*</t>
    </r>
    <r>
      <rPr>
        <sz val="12"/>
        <rFont val="Arial"/>
        <family val="2"/>
      </rPr>
      <t>[</t>
    </r>
    <r>
      <rPr>
        <i/>
        <sz val="12"/>
        <rFont val="Arial"/>
        <family val="2"/>
      </rPr>
      <t>K</t>
    </r>
    <r>
      <rPr>
        <vertAlign val="subscript"/>
        <sz val="12"/>
        <rFont val="Arial"/>
        <family val="2"/>
      </rPr>
      <t>O2</t>
    </r>
    <r>
      <rPr>
        <sz val="12"/>
        <rFont val="Arial"/>
        <family val="2"/>
      </rPr>
      <t>/(</t>
    </r>
    <r>
      <rPr>
        <i/>
        <sz val="12"/>
        <rFont val="Arial"/>
        <family val="2"/>
      </rPr>
      <t>K</t>
    </r>
    <r>
      <rPr>
        <vertAlign val="subscript"/>
        <sz val="12"/>
        <rFont val="Arial"/>
        <family val="2"/>
      </rPr>
      <t>O2</t>
    </r>
    <r>
      <rPr>
        <sz val="11"/>
        <rFont val="Arial"/>
        <family val="2"/>
      </rPr>
      <t>+</t>
    </r>
    <r>
      <rPr>
        <i/>
        <sz val="12"/>
        <rFont val="Arial"/>
        <family val="2"/>
      </rPr>
      <t>S</t>
    </r>
    <r>
      <rPr>
        <vertAlign val="subscript"/>
        <sz val="12"/>
        <rFont val="Arial"/>
        <family val="2"/>
      </rPr>
      <t>O2</t>
    </r>
    <r>
      <rPr>
        <sz val="12"/>
        <rFont val="Arial"/>
        <family val="2"/>
      </rPr>
      <t>)]*</t>
    </r>
    <r>
      <rPr>
        <sz val="11"/>
        <rFont val="Arial"/>
        <family val="2"/>
      </rPr>
      <t>[</t>
    </r>
    <r>
      <rPr>
        <i/>
        <sz val="12"/>
        <rFont val="Arial"/>
        <family val="2"/>
      </rPr>
      <t>S</t>
    </r>
    <r>
      <rPr>
        <vertAlign val="subscript"/>
        <sz val="12"/>
        <rFont val="Arial"/>
        <family val="2"/>
      </rPr>
      <t>NOX</t>
    </r>
    <r>
      <rPr>
        <sz val="11"/>
        <rFont val="Arial"/>
        <family val="2"/>
      </rPr>
      <t>/</t>
    </r>
    <r>
      <rPr>
        <sz val="12"/>
        <rFont val="Arial"/>
        <family val="2"/>
      </rPr>
      <t>(</t>
    </r>
    <r>
      <rPr>
        <i/>
        <sz val="12"/>
        <rFont val="Arial"/>
        <family val="2"/>
      </rPr>
      <t>K</t>
    </r>
    <r>
      <rPr>
        <vertAlign val="subscript"/>
        <sz val="12"/>
        <rFont val="Arial"/>
        <family val="2"/>
      </rPr>
      <t>NOX</t>
    </r>
    <r>
      <rPr>
        <sz val="11"/>
        <rFont val="Arial"/>
        <family val="2"/>
      </rPr>
      <t>+</t>
    </r>
    <r>
      <rPr>
        <i/>
        <sz val="12"/>
        <rFont val="Arial"/>
        <family val="2"/>
      </rPr>
      <t>S</t>
    </r>
    <r>
      <rPr>
        <vertAlign val="subscript"/>
        <sz val="12"/>
        <rFont val="Arial"/>
        <family val="2"/>
      </rPr>
      <t>NOX</t>
    </r>
    <r>
      <rPr>
        <sz val="11"/>
        <rFont val="Arial"/>
        <family val="2"/>
      </rPr>
      <t>)]*</t>
    </r>
    <r>
      <rPr>
        <i/>
        <sz val="12"/>
        <rFont val="Arial"/>
        <family val="2"/>
      </rPr>
      <t>X</t>
    </r>
    <r>
      <rPr>
        <vertAlign val="subscript"/>
        <sz val="12"/>
        <rFont val="Arial"/>
        <family val="2"/>
      </rPr>
      <t>STO</t>
    </r>
  </si>
  <si>
    <r>
      <t>Growth of X</t>
    </r>
    <r>
      <rPr>
        <b/>
        <vertAlign val="subscript"/>
        <sz val="11"/>
        <rFont val="Arial"/>
        <family val="2"/>
      </rPr>
      <t xml:space="preserve">A </t>
    </r>
    <r>
      <rPr>
        <b/>
        <sz val="11"/>
        <rFont val="Arial"/>
        <family val="2"/>
      </rPr>
      <t>(Nitrification)</t>
    </r>
  </si>
  <si>
    <r>
      <t>-1/</t>
    </r>
    <r>
      <rPr>
        <i/>
        <sz val="12"/>
        <rFont val="Arial"/>
        <family val="2"/>
      </rPr>
      <t>Y</t>
    </r>
    <r>
      <rPr>
        <vertAlign val="subscript"/>
        <sz val="12"/>
        <rFont val="Arial"/>
        <family val="2"/>
      </rPr>
      <t>A</t>
    </r>
    <r>
      <rPr>
        <sz val="12"/>
        <rFont val="Arial"/>
        <family val="2"/>
      </rPr>
      <t>-</t>
    </r>
    <r>
      <rPr>
        <i/>
        <sz val="12"/>
        <rFont val="Arial"/>
        <family val="2"/>
      </rPr>
      <t>i</t>
    </r>
    <r>
      <rPr>
        <vertAlign val="subscript"/>
        <sz val="12"/>
        <rFont val="Arial"/>
        <family val="2"/>
      </rPr>
      <t>N,BM</t>
    </r>
  </si>
  <si>
    <r>
      <t>v</t>
    </r>
    <r>
      <rPr>
        <vertAlign val="subscript"/>
        <sz val="12"/>
        <rFont val="Arial"/>
        <family val="2"/>
      </rPr>
      <t>10_NH4</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10_NOX</t>
    </r>
    <r>
      <rPr>
        <sz val="12"/>
        <rFont val="Arial"/>
        <family val="2"/>
      </rPr>
      <t>*</t>
    </r>
    <r>
      <rPr>
        <i/>
        <sz val="12"/>
        <rFont val="Arial"/>
        <family val="2"/>
      </rPr>
      <t>i</t>
    </r>
    <r>
      <rPr>
        <vertAlign val="subscript"/>
        <sz val="12"/>
        <rFont val="Arial"/>
        <family val="2"/>
      </rPr>
      <t>Charge_NOx</t>
    </r>
  </si>
  <si>
    <r>
      <t>μ</t>
    </r>
    <r>
      <rPr>
        <vertAlign val="subscript"/>
        <sz val="12"/>
        <rFont val="Arial"/>
        <family val="2"/>
      </rPr>
      <t>A</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A,O2</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NH4</t>
    </r>
    <r>
      <rPr>
        <sz val="12"/>
        <rFont val="Arial"/>
        <family val="2"/>
      </rPr>
      <t>/(</t>
    </r>
    <r>
      <rPr>
        <i/>
        <sz val="12"/>
        <rFont val="Arial"/>
        <family val="2"/>
      </rPr>
      <t>K</t>
    </r>
    <r>
      <rPr>
        <vertAlign val="subscript"/>
        <sz val="12"/>
        <rFont val="Arial"/>
        <family val="2"/>
      </rPr>
      <t>A,NH4</t>
    </r>
    <r>
      <rPr>
        <sz val="12"/>
        <rFont val="Arial"/>
        <family val="2"/>
      </rPr>
      <t>+</t>
    </r>
    <r>
      <rPr>
        <i/>
        <sz val="12"/>
        <rFont val="Arial"/>
        <family val="2"/>
      </rPr>
      <t>S</t>
    </r>
    <r>
      <rPr>
        <vertAlign val="subscript"/>
        <sz val="12"/>
        <rFont val="Arial"/>
        <family val="2"/>
      </rPr>
      <t>NH4</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K</t>
    </r>
    <r>
      <rPr>
        <vertAlign val="subscript"/>
        <sz val="12"/>
        <rFont val="Arial"/>
        <family val="2"/>
      </rPr>
      <t>A,ALK</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X</t>
    </r>
    <r>
      <rPr>
        <vertAlign val="subscript"/>
        <sz val="12"/>
        <rFont val="Arial"/>
        <family val="2"/>
      </rPr>
      <t>A</t>
    </r>
  </si>
  <si>
    <r>
      <t>Aerobic endogenous respiration of X</t>
    </r>
    <r>
      <rPr>
        <b/>
        <vertAlign val="subscript"/>
        <sz val="11"/>
        <rFont val="Arial"/>
        <family val="2"/>
      </rPr>
      <t>A</t>
    </r>
  </si>
  <si>
    <r>
      <t>v</t>
    </r>
    <r>
      <rPr>
        <vertAlign val="subscript"/>
        <sz val="12"/>
        <rFont val="Arial"/>
        <family val="2"/>
      </rPr>
      <t>11_NH4</t>
    </r>
    <r>
      <rPr>
        <sz val="12"/>
        <rFont val="Arial"/>
        <family val="2"/>
      </rPr>
      <t>*</t>
    </r>
    <r>
      <rPr>
        <i/>
        <sz val="12"/>
        <rFont val="Arial"/>
        <family val="2"/>
      </rPr>
      <t>i</t>
    </r>
    <r>
      <rPr>
        <vertAlign val="subscript"/>
        <sz val="12"/>
        <rFont val="Arial"/>
        <family val="2"/>
      </rPr>
      <t>Charge_NHx</t>
    </r>
  </si>
  <si>
    <r>
      <t>b</t>
    </r>
    <r>
      <rPr>
        <vertAlign val="subscript"/>
        <sz val="12"/>
        <rFont val="Arial"/>
        <family val="2"/>
      </rPr>
      <t>A,O2</t>
    </r>
    <r>
      <rPr>
        <sz val="11"/>
        <rFont val="Arial"/>
        <family val="2"/>
      </rPr>
      <t>*</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A,O2</t>
    </r>
    <r>
      <rPr>
        <sz val="11"/>
        <rFont val="Arial"/>
        <family val="2"/>
      </rPr>
      <t>+</t>
    </r>
    <r>
      <rPr>
        <i/>
        <sz val="12"/>
        <rFont val="Arial"/>
        <family val="2"/>
      </rPr>
      <t>S</t>
    </r>
    <r>
      <rPr>
        <vertAlign val="subscript"/>
        <sz val="12"/>
        <rFont val="Arial"/>
        <family val="2"/>
      </rPr>
      <t>O2</t>
    </r>
    <r>
      <rPr>
        <sz val="12"/>
        <rFont val="Arial"/>
        <family val="2"/>
      </rPr>
      <t>)]*</t>
    </r>
    <r>
      <rPr>
        <i/>
        <sz val="12"/>
        <rFont val="Arial"/>
        <family val="2"/>
      </rPr>
      <t>X</t>
    </r>
    <r>
      <rPr>
        <vertAlign val="subscript"/>
        <sz val="12"/>
        <rFont val="Arial"/>
        <family val="2"/>
      </rPr>
      <t>A</t>
    </r>
  </si>
  <si>
    <r>
      <t>Anoxic endogenous respiration of X</t>
    </r>
    <r>
      <rPr>
        <b/>
        <vertAlign val="subscript"/>
        <sz val="11"/>
        <rFont val="Arial"/>
        <family val="2"/>
      </rPr>
      <t>A</t>
    </r>
  </si>
  <si>
    <r>
      <t>v</t>
    </r>
    <r>
      <rPr>
        <vertAlign val="subscript"/>
        <sz val="12"/>
        <rFont val="Arial"/>
        <family val="2"/>
      </rPr>
      <t>12_NH4</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12_NOX</t>
    </r>
    <r>
      <rPr>
        <sz val="12"/>
        <rFont val="Arial"/>
        <family val="2"/>
      </rPr>
      <t>*</t>
    </r>
    <r>
      <rPr>
        <i/>
        <sz val="12"/>
        <rFont val="Arial"/>
        <family val="2"/>
      </rPr>
      <t>i</t>
    </r>
    <r>
      <rPr>
        <vertAlign val="subscript"/>
        <sz val="12"/>
        <rFont val="Arial"/>
        <family val="2"/>
      </rPr>
      <t>Charge_NOx</t>
    </r>
  </si>
  <si>
    <r>
      <t>b</t>
    </r>
    <r>
      <rPr>
        <vertAlign val="subscript"/>
        <sz val="12"/>
        <rFont val="Arial"/>
        <family val="2"/>
      </rPr>
      <t>A,NOX</t>
    </r>
    <r>
      <rPr>
        <sz val="11"/>
        <rFont val="Arial"/>
        <family val="2"/>
      </rPr>
      <t>*</t>
    </r>
    <r>
      <rPr>
        <sz val="12"/>
        <rFont val="Arial"/>
        <family val="2"/>
      </rPr>
      <t>[</t>
    </r>
    <r>
      <rPr>
        <i/>
        <sz val="12"/>
        <rFont val="Arial"/>
        <family val="2"/>
      </rPr>
      <t>K</t>
    </r>
    <r>
      <rPr>
        <vertAlign val="subscript"/>
        <sz val="12"/>
        <rFont val="Arial"/>
        <family val="2"/>
      </rPr>
      <t>A,O2</t>
    </r>
    <r>
      <rPr>
        <sz val="12"/>
        <rFont val="Arial"/>
        <family val="2"/>
      </rPr>
      <t>/(</t>
    </r>
    <r>
      <rPr>
        <i/>
        <sz val="12"/>
        <rFont val="Arial"/>
        <family val="2"/>
      </rPr>
      <t>K</t>
    </r>
    <r>
      <rPr>
        <vertAlign val="subscript"/>
        <sz val="12"/>
        <rFont val="Arial"/>
        <family val="2"/>
      </rPr>
      <t>A,O2</t>
    </r>
    <r>
      <rPr>
        <sz val="11"/>
        <rFont val="Arial"/>
        <family val="2"/>
      </rPr>
      <t>+</t>
    </r>
    <r>
      <rPr>
        <i/>
        <sz val="12"/>
        <rFont val="Arial"/>
        <family val="2"/>
      </rPr>
      <t>S</t>
    </r>
    <r>
      <rPr>
        <vertAlign val="subscript"/>
        <sz val="12"/>
        <rFont val="Arial"/>
        <family val="2"/>
      </rPr>
      <t>O2</t>
    </r>
    <r>
      <rPr>
        <sz val="12"/>
        <rFont val="Arial"/>
        <family val="2"/>
      </rPr>
      <t>)]*</t>
    </r>
    <r>
      <rPr>
        <sz val="11"/>
        <rFont val="Arial"/>
        <family val="2"/>
      </rPr>
      <t>[</t>
    </r>
    <r>
      <rPr>
        <i/>
        <sz val="12"/>
        <rFont val="Arial"/>
        <family val="2"/>
      </rPr>
      <t>S</t>
    </r>
    <r>
      <rPr>
        <vertAlign val="subscript"/>
        <sz val="12"/>
        <rFont val="Arial"/>
        <family val="2"/>
      </rPr>
      <t>NOX</t>
    </r>
    <r>
      <rPr>
        <sz val="11"/>
        <rFont val="Arial"/>
        <family val="2"/>
      </rPr>
      <t>/</t>
    </r>
    <r>
      <rPr>
        <sz val="12"/>
        <rFont val="Arial"/>
        <family val="2"/>
      </rPr>
      <t>(</t>
    </r>
    <r>
      <rPr>
        <i/>
        <sz val="12"/>
        <rFont val="Arial"/>
        <family val="2"/>
      </rPr>
      <t>K</t>
    </r>
    <r>
      <rPr>
        <vertAlign val="subscript"/>
        <sz val="12"/>
        <rFont val="Arial"/>
        <family val="2"/>
      </rPr>
      <t>NOX</t>
    </r>
    <r>
      <rPr>
        <sz val="11"/>
        <rFont val="Arial"/>
        <family val="2"/>
      </rPr>
      <t>+</t>
    </r>
    <r>
      <rPr>
        <i/>
        <sz val="12"/>
        <rFont val="Arial"/>
        <family val="2"/>
      </rPr>
      <t>S</t>
    </r>
    <r>
      <rPr>
        <vertAlign val="subscript"/>
        <sz val="12"/>
        <rFont val="Arial"/>
        <family val="2"/>
      </rPr>
      <t>NOX</t>
    </r>
    <r>
      <rPr>
        <sz val="12"/>
        <rFont val="Arial"/>
        <family val="2"/>
      </rPr>
      <t>)]*</t>
    </r>
    <r>
      <rPr>
        <i/>
        <sz val="12"/>
        <rFont val="Arial"/>
        <family val="2"/>
      </rPr>
      <t>X</t>
    </r>
    <r>
      <rPr>
        <vertAlign val="subscript"/>
        <sz val="12"/>
        <rFont val="Arial"/>
        <family val="2"/>
      </rPr>
      <t>A</t>
    </r>
  </si>
  <si>
    <r>
      <t>Yield for X</t>
    </r>
    <r>
      <rPr>
        <vertAlign val="subscript"/>
        <sz val="10"/>
        <rFont val="Arial"/>
        <family val="2"/>
      </rPr>
      <t>OHO</t>
    </r>
    <r>
      <rPr>
        <sz val="10"/>
        <rFont val="Arial"/>
        <family val="2"/>
      </rPr>
      <t xml:space="preserve"> growth per X</t>
    </r>
    <r>
      <rPr>
        <vertAlign val="subscript"/>
        <sz val="10"/>
        <rFont val="Arial"/>
        <family val="2"/>
      </rPr>
      <t xml:space="preserve">OHO,Stor </t>
    </r>
    <r>
      <rPr>
        <sz val="10"/>
        <rFont val="Arial"/>
        <family val="2"/>
      </rPr>
      <t>(Aerobic )</t>
    </r>
  </si>
  <si>
    <r>
      <t>g X</t>
    </r>
    <r>
      <rPr>
        <vertAlign val="subscript"/>
        <sz val="8"/>
        <rFont val="Arial"/>
        <family val="2"/>
      </rPr>
      <t>OHO</t>
    </r>
    <r>
      <rPr>
        <sz val="8"/>
        <rFont val="Arial"/>
        <family val="2"/>
      </rPr>
      <t>.g X</t>
    </r>
    <r>
      <rPr>
        <vertAlign val="subscript"/>
        <sz val="8"/>
        <rFont val="Arial"/>
        <family val="2"/>
      </rPr>
      <t>Stor</t>
    </r>
    <r>
      <rPr>
        <vertAlign val="superscript"/>
        <sz val="10"/>
        <rFont val="Arial"/>
        <family val="2"/>
      </rPr>
      <t>-1</t>
    </r>
  </si>
  <si>
    <r>
      <t>Yield for X</t>
    </r>
    <r>
      <rPr>
        <vertAlign val="subscript"/>
        <sz val="10"/>
        <rFont val="Arial"/>
        <family val="2"/>
      </rPr>
      <t>OHO</t>
    </r>
    <r>
      <rPr>
        <sz val="10"/>
        <rFont val="Arial"/>
        <family val="2"/>
      </rPr>
      <t xml:space="preserve"> growth per X</t>
    </r>
    <r>
      <rPr>
        <vertAlign val="subscript"/>
        <sz val="10"/>
        <rFont val="Arial"/>
        <family val="2"/>
      </rPr>
      <t xml:space="preserve">OHO,Stor </t>
    </r>
    <r>
      <rPr>
        <sz val="10"/>
        <rFont val="Arial"/>
        <family val="2"/>
      </rPr>
      <t>(Anoxic)</t>
    </r>
  </si>
  <si>
    <r>
      <t>Yield for X</t>
    </r>
    <r>
      <rPr>
        <vertAlign val="subscript"/>
        <sz val="10"/>
        <rFont val="Arial"/>
        <family val="2"/>
      </rPr>
      <t>OHO,Stor</t>
    </r>
    <r>
      <rPr>
        <sz val="10"/>
        <rFont val="Arial"/>
        <family val="2"/>
      </rPr>
      <t xml:space="preserve"> formation per S</t>
    </r>
    <r>
      <rPr>
        <vertAlign val="subscript"/>
        <sz val="10"/>
        <rFont val="Arial"/>
        <family val="2"/>
      </rPr>
      <t xml:space="preserve">B </t>
    </r>
    <r>
      <rPr>
        <sz val="10"/>
        <rFont val="Arial"/>
        <family val="2"/>
      </rPr>
      <t>(Aerobic )</t>
    </r>
  </si>
  <si>
    <r>
      <t>g X</t>
    </r>
    <r>
      <rPr>
        <vertAlign val="subscript"/>
        <sz val="8"/>
        <rFont val="Arial"/>
        <family val="2"/>
      </rPr>
      <t>Stor</t>
    </r>
    <r>
      <rPr>
        <sz val="8"/>
        <rFont val="Arial"/>
        <family val="2"/>
      </rPr>
      <t>.g S</t>
    </r>
    <r>
      <rPr>
        <vertAlign val="subscript"/>
        <sz val="8"/>
        <rFont val="Arial"/>
        <family val="2"/>
      </rPr>
      <t>B</t>
    </r>
    <r>
      <rPr>
        <vertAlign val="superscript"/>
        <sz val="10"/>
        <rFont val="Arial"/>
        <family val="2"/>
      </rPr>
      <t>-1</t>
    </r>
  </si>
  <si>
    <r>
      <t>Yield for X</t>
    </r>
    <r>
      <rPr>
        <vertAlign val="subscript"/>
        <sz val="10"/>
        <rFont val="Arial"/>
        <family val="2"/>
      </rPr>
      <t>OHO,Stor</t>
    </r>
    <r>
      <rPr>
        <sz val="10"/>
        <rFont val="Arial"/>
        <family val="2"/>
      </rPr>
      <t xml:space="preserve"> formation per S</t>
    </r>
    <r>
      <rPr>
        <vertAlign val="subscript"/>
        <sz val="10"/>
        <rFont val="Arial"/>
        <family val="2"/>
      </rPr>
      <t xml:space="preserve">B </t>
    </r>
    <r>
      <rPr>
        <sz val="10"/>
        <rFont val="Arial"/>
        <family val="2"/>
      </rPr>
      <t>(Anoxic)</t>
    </r>
  </si>
  <si>
    <r>
      <t>Fraction of X</t>
    </r>
    <r>
      <rPr>
        <vertAlign val="subscript"/>
        <sz val="10"/>
        <rFont val="Arial"/>
        <family val="2"/>
      </rPr>
      <t>U</t>
    </r>
    <r>
      <rPr>
        <sz val="10"/>
        <rFont val="Arial"/>
        <family val="2"/>
      </rPr>
      <t xml:space="preserve"> generated in biomass decay</t>
    </r>
  </si>
  <si>
    <r>
      <t>N content of S</t>
    </r>
    <r>
      <rPr>
        <vertAlign val="subscript"/>
        <sz val="10"/>
        <rFont val="Arial"/>
        <family val="2"/>
      </rPr>
      <t>B</t>
    </r>
  </si>
  <si>
    <r>
      <t>g N.g S</t>
    </r>
    <r>
      <rPr>
        <vertAlign val="subscript"/>
        <sz val="8"/>
        <rFont val="Arial"/>
        <family val="2"/>
      </rPr>
      <t>B</t>
    </r>
    <r>
      <rPr>
        <vertAlign val="superscript"/>
        <sz val="10"/>
        <rFont val="Arial"/>
        <family val="2"/>
      </rPr>
      <t>-1</t>
    </r>
  </si>
  <si>
    <r>
      <t>1-</t>
    </r>
    <r>
      <rPr>
        <i/>
        <sz val="12"/>
        <rFont val="Arial"/>
        <family val="2"/>
      </rPr>
      <t>f</t>
    </r>
    <r>
      <rPr>
        <vertAlign val="subscript"/>
        <sz val="12"/>
        <rFont val="Arial"/>
        <family val="2"/>
      </rPr>
      <t>SU_XCB,hyd</t>
    </r>
  </si>
  <si>
    <r>
      <t>-(1-</t>
    </r>
    <r>
      <rPr>
        <i/>
        <sz val="12"/>
        <rFont val="Arial"/>
        <family val="2"/>
      </rPr>
      <t>f</t>
    </r>
    <r>
      <rPr>
        <vertAlign val="subscript"/>
        <sz val="12"/>
        <rFont val="Arial"/>
        <family val="2"/>
      </rPr>
      <t>SU_XCB,hyd</t>
    </r>
    <r>
      <rPr>
        <sz val="12"/>
        <rFont val="Arial"/>
        <family val="2"/>
      </rPr>
      <t>)*</t>
    </r>
    <r>
      <rPr>
        <i/>
        <sz val="12"/>
        <rFont val="Arial"/>
        <family val="2"/>
      </rPr>
      <t>i</t>
    </r>
    <r>
      <rPr>
        <vertAlign val="subscript"/>
        <sz val="12"/>
        <rFont val="Arial"/>
        <family val="2"/>
      </rPr>
      <t>N_SB</t>
    </r>
    <r>
      <rPr>
        <sz val="12"/>
        <rFont val="Arial"/>
        <family val="2"/>
      </rPr>
      <t>-</t>
    </r>
    <r>
      <rPr>
        <i/>
        <sz val="12"/>
        <rFont val="Arial"/>
        <family val="2"/>
      </rPr>
      <t>f</t>
    </r>
    <r>
      <rPr>
        <vertAlign val="subscript"/>
        <sz val="12"/>
        <rFont val="Arial"/>
        <family val="2"/>
      </rPr>
      <t>SU_XCB,hyd</t>
    </r>
    <r>
      <rPr>
        <sz val="12"/>
        <rFont val="Arial"/>
        <family val="2"/>
      </rPr>
      <t>*</t>
    </r>
    <r>
      <rPr>
        <i/>
        <sz val="12"/>
        <rFont val="Arial"/>
        <family val="2"/>
      </rPr>
      <t>i</t>
    </r>
    <r>
      <rPr>
        <vertAlign val="subscript"/>
        <sz val="12"/>
        <rFont val="Arial"/>
        <family val="2"/>
      </rPr>
      <t>N_SU</t>
    </r>
    <r>
      <rPr>
        <sz val="12"/>
        <rFont val="Arial"/>
        <family val="2"/>
      </rPr>
      <t>+</t>
    </r>
    <r>
      <rPr>
        <i/>
        <sz val="12"/>
        <rFont val="Arial"/>
        <family val="2"/>
      </rPr>
      <t>i</t>
    </r>
    <r>
      <rPr>
        <vertAlign val="subscript"/>
        <sz val="12"/>
        <rFont val="Arial"/>
        <family val="2"/>
      </rPr>
      <t>N_XCB</t>
    </r>
  </si>
  <si>
    <r>
      <t>v</t>
    </r>
    <r>
      <rPr>
        <vertAlign val="subscript"/>
        <sz val="12"/>
        <rFont val="Arial"/>
        <family val="2"/>
      </rPr>
      <t>1_SNHx</t>
    </r>
    <r>
      <rPr>
        <sz val="12"/>
        <rFont val="Arial"/>
        <family val="2"/>
      </rPr>
      <t>*</t>
    </r>
    <r>
      <rPr>
        <i/>
        <sz val="12"/>
        <rFont val="Arial"/>
        <family val="2"/>
      </rPr>
      <t>i</t>
    </r>
    <r>
      <rPr>
        <vertAlign val="subscript"/>
        <sz val="12"/>
        <rFont val="Arial"/>
        <family val="2"/>
      </rPr>
      <t>Charge_NHx</t>
    </r>
  </si>
  <si>
    <r>
      <t>-</t>
    </r>
    <r>
      <rPr>
        <i/>
        <sz val="12"/>
        <rFont val="Arial"/>
        <family val="2"/>
      </rPr>
      <t>i</t>
    </r>
    <r>
      <rPr>
        <vertAlign val="subscript"/>
        <sz val="12"/>
        <rFont val="Arial"/>
        <family val="2"/>
      </rPr>
      <t>TSS_XCB</t>
    </r>
  </si>
  <si>
    <r>
      <t>q</t>
    </r>
    <r>
      <rPr>
        <vertAlign val="subscript"/>
        <sz val="12"/>
        <rFont val="Arial"/>
        <family val="2"/>
      </rPr>
      <t>XCB_SB,hyd</t>
    </r>
    <r>
      <rPr>
        <sz val="12"/>
        <rFont val="Arial"/>
        <family val="2"/>
      </rPr>
      <t>*(</t>
    </r>
    <r>
      <rPr>
        <i/>
        <sz val="12"/>
        <rFont val="Arial"/>
        <family val="2"/>
      </rPr>
      <t>XC</t>
    </r>
    <r>
      <rPr>
        <vertAlign val="subscript"/>
        <sz val="12"/>
        <rFont val="Arial"/>
        <family val="2"/>
      </rPr>
      <t>B</t>
    </r>
    <r>
      <rPr>
        <sz val="12"/>
        <rFont val="Arial"/>
        <family val="2"/>
      </rPr>
      <t>/</t>
    </r>
    <r>
      <rPr>
        <i/>
        <sz val="12"/>
        <rFont val="Arial"/>
        <family val="2"/>
      </rPr>
      <t>X</t>
    </r>
    <r>
      <rPr>
        <vertAlign val="subscript"/>
        <sz val="12"/>
        <rFont val="Arial"/>
        <family val="2"/>
      </rPr>
      <t>OHO</t>
    </r>
    <r>
      <rPr>
        <sz val="12"/>
        <rFont val="Arial"/>
        <family val="2"/>
      </rPr>
      <t>)/(</t>
    </r>
    <r>
      <rPr>
        <i/>
        <sz val="12"/>
        <rFont val="Arial"/>
        <family val="2"/>
      </rPr>
      <t>K</t>
    </r>
    <r>
      <rPr>
        <vertAlign val="subscript"/>
        <sz val="12"/>
        <rFont val="Arial"/>
        <family val="2"/>
      </rPr>
      <t>XCB,hyd</t>
    </r>
    <r>
      <rPr>
        <sz val="12"/>
        <rFont val="Arial"/>
        <family val="2"/>
      </rPr>
      <t>+</t>
    </r>
    <r>
      <rPr>
        <i/>
        <sz val="12"/>
        <rFont val="Arial"/>
        <family val="2"/>
      </rPr>
      <t>XC</t>
    </r>
    <r>
      <rPr>
        <vertAlign val="subscript"/>
        <sz val="12"/>
        <rFont val="Arial"/>
        <family val="2"/>
      </rPr>
      <t>B</t>
    </r>
    <r>
      <rPr>
        <sz val="12"/>
        <rFont val="Arial"/>
        <family val="2"/>
      </rPr>
      <t>/</t>
    </r>
    <r>
      <rPr>
        <i/>
        <sz val="12"/>
        <rFont val="Arial"/>
        <family val="2"/>
      </rPr>
      <t>X</t>
    </r>
    <r>
      <rPr>
        <vertAlign val="subscript"/>
        <sz val="12"/>
        <rFont val="Arial"/>
        <family val="2"/>
      </rPr>
      <t>OHO</t>
    </r>
    <r>
      <rPr>
        <sz val="12"/>
        <rFont val="Arial"/>
        <family val="2"/>
      </rPr>
      <t>)*</t>
    </r>
    <r>
      <rPr>
        <i/>
        <sz val="12"/>
        <rFont val="Arial"/>
        <family val="2"/>
      </rPr>
      <t>X</t>
    </r>
    <r>
      <rPr>
        <vertAlign val="subscript"/>
        <sz val="12"/>
        <rFont val="Arial"/>
        <family val="2"/>
      </rPr>
      <t>OHO</t>
    </r>
  </si>
  <si>
    <r>
      <t>Aerobic storage of X</t>
    </r>
    <r>
      <rPr>
        <b/>
        <vertAlign val="subscript"/>
        <sz val="11"/>
        <rFont val="Arial"/>
        <family val="2"/>
      </rPr>
      <t>OHO,Stor</t>
    </r>
  </si>
  <si>
    <r>
      <t>-(1-</t>
    </r>
    <r>
      <rPr>
        <i/>
        <sz val="12"/>
        <rFont val="Arial"/>
        <family val="2"/>
      </rPr>
      <t>Y</t>
    </r>
    <r>
      <rPr>
        <vertAlign val="subscript"/>
        <sz val="12"/>
        <rFont val="Arial"/>
        <family val="2"/>
      </rPr>
      <t>SB_Stor,Ox</t>
    </r>
    <r>
      <rPr>
        <sz val="12"/>
        <rFont val="Arial"/>
        <family val="2"/>
      </rPr>
      <t>)</t>
    </r>
  </si>
  <si>
    <r>
      <t>v</t>
    </r>
    <r>
      <rPr>
        <vertAlign val="subscript"/>
        <sz val="12"/>
        <rFont val="Arial"/>
        <family val="2"/>
      </rPr>
      <t>2_XNHx</t>
    </r>
    <r>
      <rPr>
        <sz val="12"/>
        <rFont val="Arial"/>
        <family val="2"/>
      </rPr>
      <t>*</t>
    </r>
    <r>
      <rPr>
        <i/>
        <sz val="12"/>
        <rFont val="Arial"/>
        <family val="2"/>
      </rPr>
      <t>i</t>
    </r>
    <r>
      <rPr>
        <vertAlign val="subscript"/>
        <sz val="12"/>
        <rFont val="Arial"/>
        <family val="2"/>
      </rPr>
      <t>Charge_NHx</t>
    </r>
  </si>
  <si>
    <r>
      <t>Y</t>
    </r>
    <r>
      <rPr>
        <vertAlign val="subscript"/>
        <sz val="12"/>
        <rFont val="Arial"/>
        <family val="2"/>
      </rPr>
      <t>SB_Stor,Ox</t>
    </r>
    <r>
      <rPr>
        <sz val="12"/>
        <rFont val="Arial"/>
        <family val="2"/>
      </rPr>
      <t>*</t>
    </r>
    <r>
      <rPr>
        <i/>
        <sz val="12"/>
        <rFont val="Arial"/>
        <family val="2"/>
      </rPr>
      <t>i</t>
    </r>
    <r>
      <rPr>
        <vertAlign val="subscript"/>
        <sz val="12"/>
        <rFont val="Arial"/>
        <family val="2"/>
      </rPr>
      <t>TSS_XSto</t>
    </r>
  </si>
  <si>
    <r>
      <t>q</t>
    </r>
    <r>
      <rPr>
        <vertAlign val="subscript"/>
        <sz val="12"/>
        <rFont val="Arial"/>
        <family val="2"/>
      </rPr>
      <t>SB_Stor</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B</t>
    </r>
    <r>
      <rPr>
        <sz val="12"/>
        <rFont val="Arial"/>
        <family val="2"/>
      </rPr>
      <t>/(</t>
    </r>
    <r>
      <rPr>
        <i/>
        <sz val="12"/>
        <rFont val="Arial"/>
        <family val="2"/>
      </rPr>
      <t>K</t>
    </r>
    <r>
      <rPr>
        <vertAlign val="subscript"/>
        <sz val="12"/>
        <rFont val="Arial"/>
        <family val="2"/>
      </rPr>
      <t>SB,OHO</t>
    </r>
    <r>
      <rPr>
        <sz val="12"/>
        <rFont val="Arial"/>
        <family val="2"/>
      </rPr>
      <t>+</t>
    </r>
    <r>
      <rPr>
        <i/>
        <sz val="12"/>
        <rFont val="Arial"/>
        <family val="2"/>
      </rPr>
      <t>S</t>
    </r>
    <r>
      <rPr>
        <vertAlign val="subscript"/>
        <sz val="12"/>
        <rFont val="Arial"/>
        <family val="2"/>
      </rPr>
      <t>B</t>
    </r>
    <r>
      <rPr>
        <sz val="12"/>
        <rFont val="Arial"/>
        <family val="2"/>
      </rPr>
      <t>)]*</t>
    </r>
    <r>
      <rPr>
        <i/>
        <sz val="12"/>
        <rFont val="Arial"/>
        <family val="2"/>
      </rPr>
      <t>X</t>
    </r>
    <r>
      <rPr>
        <vertAlign val="subscript"/>
        <sz val="12"/>
        <rFont val="Arial"/>
        <family val="2"/>
      </rPr>
      <t>OHO</t>
    </r>
  </si>
  <si>
    <r>
      <t>Anoxic storage of X</t>
    </r>
    <r>
      <rPr>
        <b/>
        <vertAlign val="subscript"/>
        <sz val="11"/>
        <rFont val="Arial"/>
        <family val="2"/>
      </rPr>
      <t>OHO,Stor</t>
    </r>
  </si>
  <si>
    <r>
      <t>-(1-</t>
    </r>
    <r>
      <rPr>
        <i/>
        <sz val="12"/>
        <rFont val="Arial"/>
        <family val="2"/>
      </rPr>
      <t>Y</t>
    </r>
    <r>
      <rPr>
        <vertAlign val="subscript"/>
        <sz val="12"/>
        <rFont val="Arial"/>
        <family val="2"/>
      </rPr>
      <t>SB_Stor,Ax</t>
    </r>
    <r>
      <rPr>
        <sz val="12"/>
        <rFont val="Arial"/>
        <family val="2"/>
      </rPr>
      <t>)/(</t>
    </r>
    <r>
      <rPr>
        <i/>
        <sz val="12"/>
        <rFont val="Arial"/>
        <family val="2"/>
      </rPr>
      <t>i</t>
    </r>
    <r>
      <rPr>
        <vertAlign val="subscript"/>
        <sz val="12"/>
        <rFont val="Arial"/>
        <family val="2"/>
      </rPr>
      <t>NOx,N2</t>
    </r>
    <r>
      <rPr>
        <sz val="12"/>
        <rFont val="Arial"/>
        <family val="2"/>
      </rPr>
      <t>)</t>
    </r>
  </si>
  <si>
    <r>
      <t>(1-</t>
    </r>
    <r>
      <rPr>
        <i/>
        <sz val="12"/>
        <rFont val="Arial"/>
        <family val="2"/>
      </rPr>
      <t>Y</t>
    </r>
    <r>
      <rPr>
        <vertAlign val="subscript"/>
        <sz val="12"/>
        <rFont val="Arial"/>
        <family val="2"/>
      </rPr>
      <t>SB_Stor,Ax</t>
    </r>
    <r>
      <rPr>
        <sz val="12"/>
        <rFont val="Arial"/>
        <family val="2"/>
      </rPr>
      <t>)/(</t>
    </r>
    <r>
      <rPr>
        <i/>
        <sz val="12"/>
        <rFont val="Arial"/>
        <family val="2"/>
      </rPr>
      <t>i</t>
    </r>
    <r>
      <rPr>
        <vertAlign val="subscript"/>
        <sz val="12"/>
        <rFont val="Arial"/>
        <family val="2"/>
      </rPr>
      <t>NOx,N2</t>
    </r>
    <r>
      <rPr>
        <sz val="12"/>
        <rFont val="Arial"/>
        <family val="2"/>
      </rPr>
      <t>)</t>
    </r>
  </si>
  <si>
    <r>
      <t>v</t>
    </r>
    <r>
      <rPr>
        <vertAlign val="subscript"/>
        <sz val="12"/>
        <rFont val="Arial"/>
        <family val="2"/>
      </rPr>
      <t>3_XNHx</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3_SNOx</t>
    </r>
    <r>
      <rPr>
        <sz val="12"/>
        <rFont val="Arial"/>
        <family val="2"/>
      </rPr>
      <t>*</t>
    </r>
    <r>
      <rPr>
        <i/>
        <sz val="12"/>
        <rFont val="Arial"/>
        <family val="2"/>
      </rPr>
      <t>i</t>
    </r>
    <r>
      <rPr>
        <vertAlign val="subscript"/>
        <sz val="12"/>
        <rFont val="Arial"/>
        <family val="2"/>
      </rPr>
      <t>Charge_NOx</t>
    </r>
  </si>
  <si>
    <r>
      <t>Y</t>
    </r>
    <r>
      <rPr>
        <vertAlign val="subscript"/>
        <sz val="12"/>
        <rFont val="Arial"/>
        <family val="2"/>
      </rPr>
      <t>SB_Stor,Ax</t>
    </r>
    <r>
      <rPr>
        <sz val="12"/>
        <rFont val="Arial"/>
        <family val="2"/>
      </rPr>
      <t>*</t>
    </r>
    <r>
      <rPr>
        <i/>
        <sz val="12"/>
        <rFont val="Arial"/>
        <family val="2"/>
      </rPr>
      <t>i</t>
    </r>
    <r>
      <rPr>
        <vertAlign val="subscript"/>
        <sz val="12"/>
        <rFont val="Arial"/>
        <family val="2"/>
      </rPr>
      <t>TSS_XSto</t>
    </r>
  </si>
  <si>
    <r>
      <t>q</t>
    </r>
    <r>
      <rPr>
        <vertAlign val="subscript"/>
        <sz val="12"/>
        <rFont val="Arial"/>
        <family val="2"/>
      </rPr>
      <t>SB_Stor</t>
    </r>
    <r>
      <rPr>
        <sz val="12"/>
        <rFont val="Arial"/>
        <family val="2"/>
      </rPr>
      <t>*</t>
    </r>
    <r>
      <rPr>
        <i/>
        <sz val="12"/>
        <rFont val="Arial"/>
        <family val="2"/>
      </rPr>
      <t>n</t>
    </r>
    <r>
      <rPr>
        <vertAlign val="subscript"/>
        <sz val="12"/>
        <rFont val="Arial"/>
        <family val="2"/>
      </rPr>
      <t>μOHO,Ax</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K</t>
    </r>
    <r>
      <rPr>
        <vertAlign val="subscript"/>
        <sz val="12"/>
        <rFont val="Arial"/>
        <family val="2"/>
      </rPr>
      <t>NOx,OHO</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S</t>
    </r>
    <r>
      <rPr>
        <vertAlign val="subscript"/>
        <sz val="12"/>
        <rFont val="Arial"/>
        <family val="2"/>
      </rPr>
      <t>B</t>
    </r>
    <r>
      <rPr>
        <sz val="12"/>
        <rFont val="Arial"/>
        <family val="2"/>
      </rPr>
      <t>/(</t>
    </r>
    <r>
      <rPr>
        <i/>
        <sz val="12"/>
        <rFont val="Arial"/>
        <family val="2"/>
      </rPr>
      <t>K</t>
    </r>
    <r>
      <rPr>
        <vertAlign val="subscript"/>
        <sz val="12"/>
        <rFont val="Arial"/>
        <family val="2"/>
      </rPr>
      <t>SB,OHO</t>
    </r>
    <r>
      <rPr>
        <sz val="12"/>
        <rFont val="Arial"/>
        <family val="2"/>
      </rPr>
      <t>+</t>
    </r>
    <r>
      <rPr>
        <i/>
        <sz val="12"/>
        <rFont val="Arial"/>
        <family val="2"/>
      </rPr>
      <t>S</t>
    </r>
    <r>
      <rPr>
        <vertAlign val="subscript"/>
        <sz val="12"/>
        <rFont val="Arial"/>
        <family val="2"/>
      </rPr>
      <t>B</t>
    </r>
    <r>
      <rPr>
        <sz val="12"/>
        <rFont val="Arial"/>
        <family val="2"/>
      </rPr>
      <t>)]*</t>
    </r>
    <r>
      <rPr>
        <i/>
        <sz val="12"/>
        <rFont val="Arial"/>
        <family val="2"/>
      </rPr>
      <t>X</t>
    </r>
    <r>
      <rPr>
        <vertAlign val="subscript"/>
        <sz val="12"/>
        <rFont val="Arial"/>
        <family val="2"/>
      </rPr>
      <t>OHO</t>
    </r>
  </si>
  <si>
    <r>
      <t>Aerobic growth of X</t>
    </r>
    <r>
      <rPr>
        <b/>
        <vertAlign val="subscript"/>
        <sz val="11"/>
        <rFont val="Arial"/>
        <family val="2"/>
      </rPr>
      <t>OHO</t>
    </r>
  </si>
  <si>
    <r>
      <t>-(1-</t>
    </r>
    <r>
      <rPr>
        <i/>
        <sz val="12"/>
        <rFont val="Arial"/>
        <family val="2"/>
      </rPr>
      <t>Y</t>
    </r>
    <r>
      <rPr>
        <vertAlign val="subscript"/>
        <sz val="12"/>
        <rFont val="Arial"/>
        <family val="2"/>
      </rPr>
      <t>Stor_OHO,Ox</t>
    </r>
    <r>
      <rPr>
        <sz val="12"/>
        <rFont val="Arial"/>
        <family val="2"/>
      </rPr>
      <t>)/</t>
    </r>
    <r>
      <rPr>
        <i/>
        <sz val="12"/>
        <rFont val="Arial"/>
        <family val="2"/>
      </rPr>
      <t>Y</t>
    </r>
    <r>
      <rPr>
        <vertAlign val="subscript"/>
        <sz val="12"/>
        <rFont val="Arial"/>
        <family val="2"/>
      </rPr>
      <t>Stor_OHO,Ox</t>
    </r>
  </si>
  <si>
    <r>
      <t>v</t>
    </r>
    <r>
      <rPr>
        <vertAlign val="subscript"/>
        <sz val="12"/>
        <rFont val="Arial"/>
        <family val="2"/>
      </rPr>
      <t>4_SNHx</t>
    </r>
    <r>
      <rPr>
        <sz val="12"/>
        <rFont val="Arial"/>
        <family val="2"/>
      </rPr>
      <t>*</t>
    </r>
    <r>
      <rPr>
        <i/>
        <sz val="12"/>
        <rFont val="Arial"/>
        <family val="2"/>
      </rPr>
      <t>i</t>
    </r>
    <r>
      <rPr>
        <vertAlign val="subscript"/>
        <sz val="12"/>
        <rFont val="Arial"/>
        <family val="2"/>
      </rPr>
      <t>Charge_NHx</t>
    </r>
  </si>
  <si>
    <r>
      <t>-1/</t>
    </r>
    <r>
      <rPr>
        <i/>
        <sz val="12"/>
        <rFont val="Arial"/>
        <family val="2"/>
      </rPr>
      <t>Y</t>
    </r>
    <r>
      <rPr>
        <vertAlign val="subscript"/>
        <sz val="12"/>
        <rFont val="Arial"/>
        <family val="2"/>
      </rPr>
      <t>Stor_OHO,Ox</t>
    </r>
  </si>
  <si>
    <r>
      <t>(-1/</t>
    </r>
    <r>
      <rPr>
        <i/>
        <sz val="12"/>
        <rFont val="Arial"/>
        <family val="2"/>
      </rPr>
      <t>Y</t>
    </r>
    <r>
      <rPr>
        <vertAlign val="subscript"/>
        <sz val="12"/>
        <rFont val="Arial"/>
        <family val="2"/>
      </rPr>
      <t>Stor_OHO,Ox</t>
    </r>
    <r>
      <rPr>
        <sz val="12"/>
        <rFont val="Arial"/>
        <family val="2"/>
      </rPr>
      <t>)*</t>
    </r>
    <r>
      <rPr>
        <i/>
        <sz val="12"/>
        <rFont val="Arial"/>
        <family val="2"/>
      </rPr>
      <t>i</t>
    </r>
    <r>
      <rPr>
        <vertAlign val="subscript"/>
        <sz val="12"/>
        <rFont val="Arial"/>
        <family val="2"/>
      </rPr>
      <t>TSS_XSto</t>
    </r>
    <r>
      <rPr>
        <sz val="12"/>
        <rFont val="Arial"/>
        <family val="2"/>
      </rPr>
      <t>+</t>
    </r>
    <r>
      <rPr>
        <i/>
        <sz val="12"/>
        <rFont val="Arial"/>
        <family val="2"/>
      </rPr>
      <t>i</t>
    </r>
    <r>
      <rPr>
        <vertAlign val="subscript"/>
        <sz val="12"/>
        <rFont val="Arial"/>
        <family val="2"/>
      </rPr>
      <t>TSS_XBio</t>
    </r>
  </si>
  <si>
    <r>
      <t>μ</t>
    </r>
    <r>
      <rPr>
        <vertAlign val="subscript"/>
        <sz val="12"/>
        <rFont val="Arial"/>
        <family val="2"/>
      </rPr>
      <t>OHO,Max</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NH4</t>
    </r>
    <r>
      <rPr>
        <sz val="12"/>
        <rFont val="Arial"/>
        <family val="2"/>
      </rPr>
      <t>/(</t>
    </r>
    <r>
      <rPr>
        <i/>
        <sz val="12"/>
        <rFont val="Arial"/>
        <family val="2"/>
      </rPr>
      <t>K</t>
    </r>
    <r>
      <rPr>
        <vertAlign val="subscript"/>
        <sz val="12"/>
        <rFont val="Arial"/>
        <family val="2"/>
      </rPr>
      <t>NHx,OHO</t>
    </r>
    <r>
      <rPr>
        <sz val="12"/>
        <rFont val="Arial"/>
        <family val="2"/>
      </rPr>
      <t>+</t>
    </r>
    <r>
      <rPr>
        <i/>
        <sz val="12"/>
        <rFont val="Arial"/>
        <family val="2"/>
      </rPr>
      <t>S</t>
    </r>
    <r>
      <rPr>
        <vertAlign val="subscript"/>
        <sz val="12"/>
        <rFont val="Arial"/>
        <family val="2"/>
      </rPr>
      <t>NH4</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K</t>
    </r>
    <r>
      <rPr>
        <vertAlign val="subscript"/>
        <sz val="12"/>
        <rFont val="Arial"/>
        <family val="2"/>
      </rPr>
      <t>ALK_H</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X</t>
    </r>
    <r>
      <rPr>
        <vertAlign val="subscript"/>
        <sz val="12"/>
        <rFont val="Arial"/>
        <family val="2"/>
      </rPr>
      <t>OHO,Stor</t>
    </r>
    <r>
      <rPr>
        <sz val="12"/>
        <rFont val="Arial"/>
        <family val="2"/>
      </rPr>
      <t>/</t>
    </r>
    <r>
      <rPr>
        <i/>
        <sz val="12"/>
        <rFont val="Arial"/>
        <family val="2"/>
      </rPr>
      <t>X</t>
    </r>
    <r>
      <rPr>
        <vertAlign val="subscript"/>
        <sz val="12"/>
        <rFont val="Arial"/>
        <family val="2"/>
      </rPr>
      <t>OHO</t>
    </r>
    <r>
      <rPr>
        <sz val="12"/>
        <rFont val="Arial"/>
        <family val="2"/>
      </rPr>
      <t>)/(</t>
    </r>
    <r>
      <rPr>
        <i/>
        <sz val="12"/>
        <rFont val="Arial"/>
        <family val="2"/>
      </rPr>
      <t>K</t>
    </r>
    <r>
      <rPr>
        <vertAlign val="subscript"/>
        <sz val="12"/>
        <rFont val="Arial"/>
        <family val="2"/>
      </rPr>
      <t>Stor_OHO</t>
    </r>
    <r>
      <rPr>
        <sz val="12"/>
        <rFont val="Arial"/>
        <family val="2"/>
      </rPr>
      <t>+</t>
    </r>
    <r>
      <rPr>
        <i/>
        <sz val="12"/>
        <rFont val="Arial"/>
        <family val="2"/>
      </rPr>
      <t>X</t>
    </r>
    <r>
      <rPr>
        <vertAlign val="subscript"/>
        <sz val="12"/>
        <rFont val="Arial"/>
        <family val="2"/>
      </rPr>
      <t>OHO,Stor</t>
    </r>
    <r>
      <rPr>
        <sz val="12"/>
        <rFont val="Arial"/>
        <family val="2"/>
      </rPr>
      <t>/</t>
    </r>
    <r>
      <rPr>
        <i/>
        <sz val="12"/>
        <rFont val="Arial"/>
        <family val="2"/>
      </rPr>
      <t>X</t>
    </r>
    <r>
      <rPr>
        <vertAlign val="subscript"/>
        <sz val="12"/>
        <rFont val="Arial"/>
        <family val="2"/>
      </rPr>
      <t>OHO</t>
    </r>
    <r>
      <rPr>
        <sz val="12"/>
        <rFont val="Arial"/>
        <family val="2"/>
      </rPr>
      <t>)]*</t>
    </r>
    <r>
      <rPr>
        <i/>
        <sz val="12"/>
        <rFont val="Arial"/>
        <family val="2"/>
      </rPr>
      <t>X</t>
    </r>
    <r>
      <rPr>
        <vertAlign val="subscript"/>
        <sz val="12"/>
        <rFont val="Arial"/>
        <family val="2"/>
      </rPr>
      <t>OHO</t>
    </r>
  </si>
  <si>
    <r>
      <t>Anoxic growth of X</t>
    </r>
    <r>
      <rPr>
        <b/>
        <vertAlign val="subscript"/>
        <sz val="11"/>
        <rFont val="Arial"/>
        <family val="2"/>
      </rPr>
      <t xml:space="preserve">OHO </t>
    </r>
    <r>
      <rPr>
        <b/>
        <sz val="11"/>
        <rFont val="Arial"/>
        <family val="2"/>
      </rPr>
      <t>(denitrification)</t>
    </r>
  </si>
  <si>
    <r>
      <t>-(1-</t>
    </r>
    <r>
      <rPr>
        <i/>
        <sz val="12"/>
        <rFont val="Arial"/>
        <family val="2"/>
      </rPr>
      <t>Y</t>
    </r>
    <r>
      <rPr>
        <vertAlign val="subscript"/>
        <sz val="12"/>
        <rFont val="Arial"/>
        <family val="2"/>
      </rPr>
      <t>Stor_OHO,Ax</t>
    </r>
    <r>
      <rPr>
        <sz val="12"/>
        <rFont val="Arial"/>
        <family val="2"/>
      </rPr>
      <t>)/</t>
    </r>
    <r>
      <rPr>
        <i/>
        <sz val="12"/>
        <rFont val="Arial"/>
        <family val="2"/>
      </rPr>
      <t>Y</t>
    </r>
    <r>
      <rPr>
        <vertAlign val="subscript"/>
        <sz val="12"/>
        <rFont val="Arial"/>
        <family val="2"/>
      </rPr>
      <t>Stor_OHO,Ax</t>
    </r>
    <r>
      <rPr>
        <sz val="12"/>
        <rFont val="Arial"/>
        <family val="2"/>
      </rPr>
      <t>*(1/</t>
    </r>
    <r>
      <rPr>
        <i/>
        <sz val="12"/>
        <rFont val="Arial"/>
        <family val="2"/>
      </rPr>
      <t>i</t>
    </r>
    <r>
      <rPr>
        <vertAlign val="subscript"/>
        <sz val="12"/>
        <rFont val="Arial"/>
        <family val="2"/>
      </rPr>
      <t>NOx,N2</t>
    </r>
    <r>
      <rPr>
        <sz val="12"/>
        <rFont val="Arial"/>
        <family val="2"/>
      </rPr>
      <t>)</t>
    </r>
  </si>
  <si>
    <r>
      <t>(1-</t>
    </r>
    <r>
      <rPr>
        <i/>
        <sz val="12"/>
        <rFont val="Arial"/>
        <family val="2"/>
      </rPr>
      <t>Y</t>
    </r>
    <r>
      <rPr>
        <vertAlign val="subscript"/>
        <sz val="12"/>
        <rFont val="Arial"/>
        <family val="2"/>
      </rPr>
      <t>Stor_OHO,Ax</t>
    </r>
    <r>
      <rPr>
        <sz val="12"/>
        <rFont val="Arial"/>
        <family val="2"/>
      </rPr>
      <t>)/</t>
    </r>
    <r>
      <rPr>
        <i/>
        <sz val="12"/>
        <rFont val="Arial"/>
        <family val="2"/>
      </rPr>
      <t>Y</t>
    </r>
    <r>
      <rPr>
        <vertAlign val="subscript"/>
        <sz val="12"/>
        <rFont val="Arial"/>
        <family val="2"/>
      </rPr>
      <t>Stor_OHO,Ax</t>
    </r>
    <r>
      <rPr>
        <sz val="12"/>
        <rFont val="Arial"/>
        <family val="2"/>
      </rPr>
      <t>*(1/</t>
    </r>
    <r>
      <rPr>
        <i/>
        <sz val="12"/>
        <rFont val="Arial"/>
        <family val="2"/>
      </rPr>
      <t>i</t>
    </r>
    <r>
      <rPr>
        <vertAlign val="subscript"/>
        <sz val="12"/>
        <rFont val="Arial"/>
        <family val="2"/>
      </rPr>
      <t>NOx,N2</t>
    </r>
    <r>
      <rPr>
        <sz val="12"/>
        <rFont val="Arial"/>
        <family val="2"/>
      </rPr>
      <t>)</t>
    </r>
  </si>
  <si>
    <r>
      <t>v</t>
    </r>
    <r>
      <rPr>
        <vertAlign val="subscript"/>
        <sz val="12"/>
        <rFont val="Arial"/>
        <family val="2"/>
      </rPr>
      <t>5_SNHx</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5_SNOx</t>
    </r>
    <r>
      <rPr>
        <sz val="12"/>
        <rFont val="Arial"/>
        <family val="2"/>
      </rPr>
      <t>*</t>
    </r>
    <r>
      <rPr>
        <i/>
        <sz val="12"/>
        <rFont val="Arial"/>
        <family val="2"/>
      </rPr>
      <t>i</t>
    </r>
    <r>
      <rPr>
        <vertAlign val="subscript"/>
        <sz val="12"/>
        <rFont val="Arial"/>
        <family val="2"/>
      </rPr>
      <t>Charge_NOx</t>
    </r>
  </si>
  <si>
    <r>
      <t>-1/</t>
    </r>
    <r>
      <rPr>
        <i/>
        <sz val="12"/>
        <rFont val="Arial"/>
        <family val="2"/>
      </rPr>
      <t>Y</t>
    </r>
    <r>
      <rPr>
        <vertAlign val="subscript"/>
        <sz val="12"/>
        <rFont val="Arial"/>
        <family val="2"/>
      </rPr>
      <t>Stor_OHO,Ax</t>
    </r>
  </si>
  <si>
    <r>
      <t>(-1/</t>
    </r>
    <r>
      <rPr>
        <i/>
        <sz val="12"/>
        <rFont val="Arial"/>
        <family val="2"/>
      </rPr>
      <t>Y</t>
    </r>
    <r>
      <rPr>
        <vertAlign val="subscript"/>
        <sz val="12"/>
        <rFont val="Arial"/>
        <family val="2"/>
      </rPr>
      <t>Stor_OHO,Ax</t>
    </r>
    <r>
      <rPr>
        <sz val="12"/>
        <rFont val="Arial"/>
        <family val="2"/>
      </rPr>
      <t>)*</t>
    </r>
    <r>
      <rPr>
        <i/>
        <sz val="12"/>
        <rFont val="Arial"/>
        <family val="2"/>
      </rPr>
      <t>i</t>
    </r>
    <r>
      <rPr>
        <vertAlign val="subscript"/>
        <sz val="12"/>
        <rFont val="Arial"/>
        <family val="2"/>
      </rPr>
      <t>TSS_XSto</t>
    </r>
    <r>
      <rPr>
        <sz val="12"/>
        <rFont val="Arial"/>
        <family val="2"/>
      </rPr>
      <t>+</t>
    </r>
    <r>
      <rPr>
        <i/>
        <sz val="12"/>
        <rFont val="Arial"/>
        <family val="2"/>
      </rPr>
      <t>i</t>
    </r>
    <r>
      <rPr>
        <vertAlign val="subscript"/>
        <sz val="12"/>
        <rFont val="Arial"/>
        <family val="2"/>
      </rPr>
      <t>TSS_XBio</t>
    </r>
  </si>
  <si>
    <r>
      <t>μ</t>
    </r>
    <r>
      <rPr>
        <vertAlign val="subscript"/>
        <sz val="12"/>
        <rFont val="Arial"/>
        <family val="2"/>
      </rPr>
      <t>OHO,Max</t>
    </r>
    <r>
      <rPr>
        <sz val="12"/>
        <rFont val="Arial"/>
        <family val="2"/>
      </rPr>
      <t>*</t>
    </r>
    <r>
      <rPr>
        <i/>
        <sz val="12"/>
        <rFont val="Arial"/>
        <family val="2"/>
      </rPr>
      <t>n</t>
    </r>
    <r>
      <rPr>
        <vertAlign val="subscript"/>
        <sz val="12"/>
        <rFont val="Arial"/>
        <family val="2"/>
      </rPr>
      <t>μOHO,Ax</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K</t>
    </r>
    <r>
      <rPr>
        <vertAlign val="subscript"/>
        <sz val="12"/>
        <rFont val="Arial"/>
        <family val="2"/>
      </rPr>
      <t>NOx,OHO</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S</t>
    </r>
    <r>
      <rPr>
        <vertAlign val="subscript"/>
        <sz val="12"/>
        <rFont val="Arial"/>
        <family val="2"/>
      </rPr>
      <t>NH4</t>
    </r>
    <r>
      <rPr>
        <sz val="12"/>
        <rFont val="Arial"/>
        <family val="2"/>
      </rPr>
      <t>/(</t>
    </r>
    <r>
      <rPr>
        <i/>
        <sz val="12"/>
        <rFont val="Arial"/>
        <family val="2"/>
      </rPr>
      <t>K</t>
    </r>
    <r>
      <rPr>
        <vertAlign val="subscript"/>
        <sz val="12"/>
        <rFont val="Arial"/>
        <family val="2"/>
      </rPr>
      <t>NHx,OHO</t>
    </r>
    <r>
      <rPr>
        <sz val="12"/>
        <rFont val="Arial"/>
        <family val="2"/>
      </rPr>
      <t>+</t>
    </r>
    <r>
      <rPr>
        <i/>
        <sz val="12"/>
        <rFont val="Arial"/>
        <family val="2"/>
      </rPr>
      <t>S</t>
    </r>
    <r>
      <rPr>
        <vertAlign val="subscript"/>
        <sz val="12"/>
        <rFont val="Arial"/>
        <family val="2"/>
      </rPr>
      <t>NH4</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K</t>
    </r>
    <r>
      <rPr>
        <vertAlign val="subscript"/>
        <sz val="12"/>
        <rFont val="Arial"/>
        <family val="2"/>
      </rPr>
      <t>Alk,OHO</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X</t>
    </r>
    <r>
      <rPr>
        <vertAlign val="subscript"/>
        <sz val="12"/>
        <rFont val="Arial"/>
        <family val="2"/>
      </rPr>
      <t>OHO,Stor</t>
    </r>
    <r>
      <rPr>
        <sz val="12"/>
        <rFont val="Arial"/>
        <family val="2"/>
      </rPr>
      <t>/</t>
    </r>
    <r>
      <rPr>
        <i/>
        <sz val="12"/>
        <rFont val="Arial"/>
        <family val="2"/>
      </rPr>
      <t>X</t>
    </r>
    <r>
      <rPr>
        <vertAlign val="subscript"/>
        <sz val="12"/>
        <rFont val="Arial"/>
        <family val="2"/>
      </rPr>
      <t>OHO</t>
    </r>
    <r>
      <rPr>
        <sz val="12"/>
        <rFont val="Arial"/>
        <family val="2"/>
      </rPr>
      <t>)/(</t>
    </r>
    <r>
      <rPr>
        <i/>
        <sz val="12"/>
        <rFont val="Arial"/>
        <family val="2"/>
      </rPr>
      <t>K</t>
    </r>
    <r>
      <rPr>
        <vertAlign val="subscript"/>
        <sz val="12"/>
        <rFont val="Arial"/>
        <family val="2"/>
      </rPr>
      <t>Stor_OHO</t>
    </r>
    <r>
      <rPr>
        <sz val="12"/>
        <rFont val="Arial"/>
        <family val="2"/>
      </rPr>
      <t>+</t>
    </r>
    <r>
      <rPr>
        <i/>
        <sz val="12"/>
        <rFont val="Arial"/>
        <family val="2"/>
      </rPr>
      <t>X</t>
    </r>
    <r>
      <rPr>
        <vertAlign val="subscript"/>
        <sz val="12"/>
        <rFont val="Arial"/>
        <family val="2"/>
      </rPr>
      <t>OHO,Stor</t>
    </r>
    <r>
      <rPr>
        <sz val="12"/>
        <rFont val="Arial"/>
        <family val="2"/>
      </rPr>
      <t>/</t>
    </r>
    <r>
      <rPr>
        <i/>
        <sz val="12"/>
        <rFont val="Arial"/>
        <family val="2"/>
      </rPr>
      <t>X</t>
    </r>
    <r>
      <rPr>
        <vertAlign val="subscript"/>
        <sz val="12"/>
        <rFont val="Arial"/>
        <family val="2"/>
      </rPr>
      <t>OHO</t>
    </r>
    <r>
      <rPr>
        <sz val="12"/>
        <rFont val="Arial"/>
        <family val="2"/>
      </rPr>
      <t>)]*</t>
    </r>
    <r>
      <rPr>
        <i/>
        <sz val="12"/>
        <rFont val="Arial"/>
        <family val="2"/>
      </rPr>
      <t>X</t>
    </r>
    <r>
      <rPr>
        <vertAlign val="subscript"/>
        <sz val="12"/>
        <rFont val="Arial"/>
        <family val="2"/>
      </rPr>
      <t>OHO</t>
    </r>
  </si>
  <si>
    <r>
      <t>g TSS.g X</t>
    </r>
    <r>
      <rPr>
        <vertAlign val="subscript"/>
        <sz val="8"/>
        <rFont val="Arial"/>
        <family val="2"/>
      </rPr>
      <t>Stor</t>
    </r>
    <r>
      <rPr>
        <vertAlign val="superscript"/>
        <sz val="10"/>
        <rFont val="Arial"/>
        <family val="2"/>
      </rPr>
      <t>-1</t>
    </r>
  </si>
  <si>
    <r>
      <t>Aerobic endogenous respiration of X</t>
    </r>
    <r>
      <rPr>
        <b/>
        <vertAlign val="subscript"/>
        <sz val="11"/>
        <rFont val="Arial"/>
        <family val="2"/>
      </rPr>
      <t>OHO</t>
    </r>
  </si>
  <si>
    <r>
      <t>-(1-</t>
    </r>
    <r>
      <rPr>
        <i/>
        <sz val="12"/>
        <rFont val="Arial"/>
        <family val="2"/>
      </rPr>
      <t>f</t>
    </r>
    <r>
      <rPr>
        <vertAlign val="subscript"/>
        <sz val="12"/>
        <rFont val="Arial"/>
        <family val="2"/>
      </rPr>
      <t>XU_Bio,lys</t>
    </r>
    <r>
      <rPr>
        <sz val="12"/>
        <rFont val="Arial"/>
        <family val="2"/>
      </rPr>
      <t>)</t>
    </r>
  </si>
  <si>
    <r>
      <t>-</t>
    </r>
    <r>
      <rPr>
        <i/>
        <sz val="12"/>
        <rFont val="Arial"/>
        <family val="2"/>
      </rPr>
      <t>f</t>
    </r>
    <r>
      <rPr>
        <vertAlign val="subscript"/>
        <sz val="12"/>
        <rFont val="Arial"/>
        <family val="2"/>
      </rPr>
      <t>XU_Bio,lys</t>
    </r>
    <r>
      <rPr>
        <sz val="12"/>
        <rFont val="Arial"/>
        <family val="2"/>
      </rPr>
      <t>*</t>
    </r>
    <r>
      <rPr>
        <i/>
        <sz val="12"/>
        <rFont val="Arial"/>
        <family val="2"/>
      </rPr>
      <t>i</t>
    </r>
    <r>
      <rPr>
        <vertAlign val="subscript"/>
        <sz val="12"/>
        <rFont val="Arial"/>
        <family val="2"/>
      </rPr>
      <t>N_XU</t>
    </r>
    <r>
      <rPr>
        <sz val="12"/>
        <rFont val="Arial"/>
        <family val="2"/>
      </rPr>
      <t>+</t>
    </r>
    <r>
      <rPr>
        <i/>
        <sz val="12"/>
        <rFont val="Arial"/>
        <family val="2"/>
      </rPr>
      <t>i</t>
    </r>
    <r>
      <rPr>
        <vertAlign val="subscript"/>
        <sz val="12"/>
        <rFont val="Arial"/>
        <family val="2"/>
      </rPr>
      <t>N_XBio</t>
    </r>
  </si>
  <si>
    <r>
      <t>v</t>
    </r>
    <r>
      <rPr>
        <vertAlign val="subscript"/>
        <sz val="12"/>
        <rFont val="Arial"/>
        <family val="2"/>
      </rPr>
      <t>6_SNHx</t>
    </r>
    <r>
      <rPr>
        <sz val="12"/>
        <rFont val="Arial"/>
        <family val="2"/>
      </rPr>
      <t>*</t>
    </r>
    <r>
      <rPr>
        <i/>
        <sz val="12"/>
        <rFont val="Arial"/>
        <family val="2"/>
      </rPr>
      <t>i</t>
    </r>
    <r>
      <rPr>
        <vertAlign val="subscript"/>
        <sz val="12"/>
        <rFont val="Arial"/>
        <family val="2"/>
      </rPr>
      <t>Charge_NHx</t>
    </r>
  </si>
  <si>
    <r>
      <t>-</t>
    </r>
    <r>
      <rPr>
        <i/>
        <sz val="12"/>
        <rFont val="Arial"/>
        <family val="2"/>
      </rPr>
      <t>i</t>
    </r>
    <r>
      <rPr>
        <vertAlign val="subscript"/>
        <sz val="12"/>
        <rFont val="Arial"/>
        <family val="2"/>
      </rPr>
      <t>TSS_XBio</t>
    </r>
    <r>
      <rPr>
        <sz val="12"/>
        <rFont val="Arial"/>
        <family val="2"/>
      </rPr>
      <t>+</t>
    </r>
    <r>
      <rPr>
        <i/>
        <sz val="12"/>
        <rFont val="Arial"/>
        <family val="2"/>
      </rPr>
      <t>f</t>
    </r>
    <r>
      <rPr>
        <vertAlign val="subscript"/>
        <sz val="12"/>
        <rFont val="Arial"/>
        <family val="2"/>
      </rPr>
      <t>XU_Bio,lys</t>
    </r>
    <r>
      <rPr>
        <sz val="12"/>
        <rFont val="Arial"/>
        <family val="2"/>
      </rPr>
      <t>*</t>
    </r>
    <r>
      <rPr>
        <i/>
        <sz val="12"/>
        <rFont val="Arial"/>
        <family val="2"/>
      </rPr>
      <t>i</t>
    </r>
    <r>
      <rPr>
        <vertAlign val="subscript"/>
        <sz val="12"/>
        <rFont val="Arial"/>
        <family val="2"/>
      </rPr>
      <t>TSS_XU</t>
    </r>
  </si>
  <si>
    <r>
      <t>m</t>
    </r>
    <r>
      <rPr>
        <vertAlign val="subscript"/>
        <sz val="12"/>
        <rFont val="Arial"/>
        <family val="2"/>
      </rPr>
      <t>OHO,Ox</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X</t>
    </r>
    <r>
      <rPr>
        <vertAlign val="subscript"/>
        <sz val="12"/>
        <rFont val="Arial"/>
        <family val="2"/>
      </rPr>
      <t>OHO</t>
    </r>
  </si>
  <si>
    <r>
      <t>Conversion factor X</t>
    </r>
    <r>
      <rPr>
        <vertAlign val="subscript"/>
        <sz val="11"/>
        <color indexed="10"/>
        <rFont val="Arial"/>
        <family val="2"/>
      </rPr>
      <t>STO</t>
    </r>
    <r>
      <rPr>
        <sz val="11"/>
        <color indexed="10"/>
        <rFont val="Arial"/>
        <family val="2"/>
      </rPr>
      <t xml:space="preserve"> in TSS*</t>
    </r>
  </si>
  <si>
    <r>
      <t>Anoxic endogenous respiration of X</t>
    </r>
    <r>
      <rPr>
        <b/>
        <vertAlign val="subscript"/>
        <sz val="11"/>
        <rFont val="Arial"/>
        <family val="2"/>
      </rPr>
      <t>OHO</t>
    </r>
  </si>
  <si>
    <r>
      <t>-(1-</t>
    </r>
    <r>
      <rPr>
        <i/>
        <sz val="12"/>
        <rFont val="Arial"/>
        <family val="2"/>
      </rPr>
      <t>f</t>
    </r>
    <r>
      <rPr>
        <vertAlign val="subscript"/>
        <sz val="12"/>
        <rFont val="Arial"/>
        <family val="2"/>
      </rPr>
      <t>XU_Bio,lys</t>
    </r>
    <r>
      <rPr>
        <sz val="12"/>
        <rFont val="Arial"/>
        <family val="2"/>
      </rPr>
      <t>)/(</t>
    </r>
    <r>
      <rPr>
        <i/>
        <sz val="12"/>
        <rFont val="Arial"/>
        <family val="2"/>
      </rPr>
      <t>i</t>
    </r>
    <r>
      <rPr>
        <vertAlign val="subscript"/>
        <sz val="12"/>
        <rFont val="Arial"/>
        <family val="2"/>
      </rPr>
      <t>NOx,N2</t>
    </r>
    <r>
      <rPr>
        <sz val="12"/>
        <rFont val="Arial"/>
        <family val="2"/>
      </rPr>
      <t>)</t>
    </r>
  </si>
  <si>
    <r>
      <t>(1-</t>
    </r>
    <r>
      <rPr>
        <i/>
        <sz val="12"/>
        <rFont val="Arial"/>
        <family val="2"/>
      </rPr>
      <t>f</t>
    </r>
    <r>
      <rPr>
        <vertAlign val="subscript"/>
        <sz val="12"/>
        <rFont val="Arial"/>
        <family val="2"/>
      </rPr>
      <t>XU_Bio,lys</t>
    </r>
    <r>
      <rPr>
        <sz val="12"/>
        <rFont val="Arial"/>
        <family val="2"/>
      </rPr>
      <t>)/(</t>
    </r>
    <r>
      <rPr>
        <i/>
        <sz val="12"/>
        <rFont val="Arial"/>
        <family val="2"/>
      </rPr>
      <t>i</t>
    </r>
    <r>
      <rPr>
        <vertAlign val="subscript"/>
        <sz val="12"/>
        <rFont val="Arial"/>
        <family val="2"/>
      </rPr>
      <t>NOx,N2</t>
    </r>
    <r>
      <rPr>
        <sz val="12"/>
        <rFont val="Arial"/>
        <family val="2"/>
      </rPr>
      <t>)</t>
    </r>
  </si>
  <si>
    <r>
      <t>v</t>
    </r>
    <r>
      <rPr>
        <vertAlign val="subscript"/>
        <sz val="12"/>
        <rFont val="Arial"/>
        <family val="2"/>
      </rPr>
      <t>7_SNOx</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v</t>
    </r>
    <r>
      <rPr>
        <vertAlign val="subscript"/>
        <sz val="12"/>
        <rFont val="Arial"/>
        <family val="2"/>
      </rPr>
      <t>7_SNHx</t>
    </r>
    <r>
      <rPr>
        <sz val="12"/>
        <rFont val="Arial"/>
        <family val="2"/>
      </rPr>
      <t>*</t>
    </r>
    <r>
      <rPr>
        <i/>
        <sz val="12"/>
        <rFont val="Arial"/>
        <family val="2"/>
      </rPr>
      <t>i</t>
    </r>
    <r>
      <rPr>
        <vertAlign val="subscript"/>
        <sz val="12"/>
        <rFont val="Arial"/>
        <family val="2"/>
      </rPr>
      <t>Charge_NHx</t>
    </r>
  </si>
  <si>
    <r>
      <t>m</t>
    </r>
    <r>
      <rPr>
        <vertAlign val="subscript"/>
        <sz val="12"/>
        <rFont val="Arial"/>
        <family val="2"/>
      </rPr>
      <t>OHO,Ax</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K</t>
    </r>
    <r>
      <rPr>
        <vertAlign val="subscript"/>
        <sz val="12"/>
        <rFont val="Arial"/>
        <family val="2"/>
      </rPr>
      <t>NOx,OHO</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X</t>
    </r>
    <r>
      <rPr>
        <vertAlign val="subscript"/>
        <sz val="12"/>
        <rFont val="Arial"/>
        <family val="2"/>
      </rPr>
      <t>OHO</t>
    </r>
  </si>
  <si>
    <r>
      <t>Conversion factor for NO</t>
    </r>
    <r>
      <rPr>
        <vertAlign val="subscript"/>
        <sz val="10"/>
        <color indexed="8"/>
        <rFont val="Arial"/>
        <family val="2"/>
      </rPr>
      <t>3</t>
    </r>
    <r>
      <rPr>
        <sz val="10"/>
        <color indexed="8"/>
        <rFont val="Arial"/>
        <family val="2"/>
      </rPr>
      <t xml:space="preserve"> reduction to N</t>
    </r>
    <r>
      <rPr>
        <vertAlign val="subscript"/>
        <sz val="10"/>
        <color indexed="8"/>
        <rFont val="Arial"/>
        <family val="2"/>
      </rPr>
      <t>2</t>
    </r>
  </si>
  <si>
    <r>
      <t>Aerobic respiration of X</t>
    </r>
    <r>
      <rPr>
        <b/>
        <vertAlign val="subscript"/>
        <sz val="11"/>
        <rFont val="Arial"/>
        <family val="2"/>
      </rPr>
      <t>OHO,Stor</t>
    </r>
  </si>
  <si>
    <r>
      <t>-</t>
    </r>
    <r>
      <rPr>
        <i/>
        <sz val="12"/>
        <rFont val="Arial"/>
        <family val="2"/>
      </rPr>
      <t>i</t>
    </r>
    <r>
      <rPr>
        <vertAlign val="subscript"/>
        <sz val="12"/>
        <rFont val="Arial"/>
        <family val="2"/>
      </rPr>
      <t>TSS_XSto</t>
    </r>
  </si>
  <si>
    <r>
      <t>m</t>
    </r>
    <r>
      <rPr>
        <vertAlign val="subscript"/>
        <sz val="12"/>
        <rFont val="Arial"/>
        <family val="2"/>
      </rPr>
      <t>Stor,Ox</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X</t>
    </r>
    <r>
      <rPr>
        <vertAlign val="subscript"/>
        <sz val="12"/>
        <rFont val="Arial"/>
        <family val="2"/>
      </rPr>
      <t>OHO,Stor</t>
    </r>
  </si>
  <si>
    <r>
      <t>Conversion factor for NO</t>
    </r>
    <r>
      <rPr>
        <vertAlign val="subscript"/>
        <sz val="10"/>
        <color indexed="8"/>
        <rFont val="Arial"/>
        <family val="2"/>
      </rPr>
      <t>3</t>
    </r>
    <r>
      <rPr>
        <sz val="10"/>
        <color indexed="8"/>
        <rFont val="Arial"/>
        <family val="2"/>
      </rPr>
      <t xml:space="preserve"> in COD</t>
    </r>
  </si>
  <si>
    <r>
      <t>Anoxic respiration of X</t>
    </r>
    <r>
      <rPr>
        <b/>
        <vertAlign val="subscript"/>
        <sz val="11"/>
        <rFont val="Arial"/>
        <family val="2"/>
      </rPr>
      <t>OHO,Stor</t>
    </r>
  </si>
  <si>
    <r>
      <t>-1/(</t>
    </r>
    <r>
      <rPr>
        <i/>
        <sz val="12"/>
        <rFont val="Arial"/>
        <family val="2"/>
      </rPr>
      <t>i</t>
    </r>
    <r>
      <rPr>
        <vertAlign val="subscript"/>
        <sz val="12"/>
        <rFont val="Arial"/>
        <family val="2"/>
      </rPr>
      <t>NOx,N2</t>
    </r>
    <r>
      <rPr>
        <sz val="12"/>
        <rFont val="Arial"/>
        <family val="2"/>
      </rPr>
      <t>)</t>
    </r>
  </si>
  <si>
    <r>
      <t>1/(</t>
    </r>
    <r>
      <rPr>
        <i/>
        <sz val="12"/>
        <rFont val="Arial"/>
        <family val="2"/>
      </rPr>
      <t>i</t>
    </r>
    <r>
      <rPr>
        <vertAlign val="subscript"/>
        <sz val="12"/>
        <rFont val="Arial"/>
        <family val="2"/>
      </rPr>
      <t>NOx,N2</t>
    </r>
    <r>
      <rPr>
        <sz val="12"/>
        <rFont val="Arial"/>
        <family val="2"/>
      </rPr>
      <t>)</t>
    </r>
  </si>
  <si>
    <r>
      <t>v</t>
    </r>
    <r>
      <rPr>
        <vertAlign val="subscript"/>
        <sz val="12"/>
        <rFont val="Arial"/>
        <family val="2"/>
      </rPr>
      <t>9_SNOx</t>
    </r>
    <r>
      <rPr>
        <sz val="12"/>
        <rFont val="Arial"/>
        <family val="2"/>
      </rPr>
      <t>*</t>
    </r>
    <r>
      <rPr>
        <i/>
        <sz val="12"/>
        <rFont val="Arial"/>
        <family val="2"/>
      </rPr>
      <t>i</t>
    </r>
    <r>
      <rPr>
        <vertAlign val="subscript"/>
        <sz val="12"/>
        <rFont val="Arial"/>
        <family val="2"/>
      </rPr>
      <t>Charge_NOx</t>
    </r>
  </si>
  <si>
    <r>
      <t>m</t>
    </r>
    <r>
      <rPr>
        <vertAlign val="subscript"/>
        <sz val="12"/>
        <rFont val="Arial"/>
        <family val="2"/>
      </rPr>
      <t>Stor,Ax</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K</t>
    </r>
    <r>
      <rPr>
        <vertAlign val="subscript"/>
        <sz val="12"/>
        <rFont val="Arial"/>
        <family val="2"/>
      </rPr>
      <t>O2,OHO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K</t>
    </r>
    <r>
      <rPr>
        <vertAlign val="subscript"/>
        <sz val="12"/>
        <rFont val="Arial"/>
        <family val="2"/>
      </rPr>
      <t>NOx,OHO</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X</t>
    </r>
    <r>
      <rPr>
        <vertAlign val="subscript"/>
        <sz val="12"/>
        <rFont val="Arial"/>
        <family val="2"/>
      </rPr>
      <t>OHO,Stor</t>
    </r>
  </si>
  <si>
    <r>
      <t>Conversion factor for N</t>
    </r>
    <r>
      <rPr>
        <vertAlign val="subscript"/>
        <sz val="10"/>
        <color indexed="8"/>
        <rFont val="Arial"/>
        <family val="2"/>
      </rPr>
      <t>2</t>
    </r>
    <r>
      <rPr>
        <sz val="10"/>
        <color indexed="8"/>
        <rFont val="Arial"/>
        <family val="2"/>
      </rPr>
      <t xml:space="preserve"> in COD</t>
    </r>
  </si>
  <si>
    <r>
      <t>Growth of X</t>
    </r>
    <r>
      <rPr>
        <b/>
        <vertAlign val="subscript"/>
        <sz val="11"/>
        <rFont val="Arial"/>
        <family val="2"/>
      </rPr>
      <t xml:space="preserve">ANO </t>
    </r>
    <r>
      <rPr>
        <b/>
        <sz val="11"/>
        <rFont val="Arial"/>
        <family val="2"/>
      </rPr>
      <t>(Nitrification)</t>
    </r>
  </si>
  <si>
    <r>
      <t>-(-</t>
    </r>
    <r>
      <rPr>
        <i/>
        <sz val="12"/>
        <rFont val="Arial"/>
        <family val="2"/>
      </rPr>
      <t>i</t>
    </r>
    <r>
      <rPr>
        <vertAlign val="subscript"/>
        <sz val="12"/>
        <rFont val="Arial"/>
        <family val="2"/>
      </rPr>
      <t>COD_NOx</t>
    </r>
    <r>
      <rPr>
        <sz val="12"/>
        <rFont val="Arial"/>
        <family val="2"/>
      </rPr>
      <t>-</t>
    </r>
    <r>
      <rPr>
        <i/>
        <sz val="12"/>
        <rFont val="Arial"/>
        <family val="2"/>
      </rPr>
      <t>Y</t>
    </r>
    <r>
      <rPr>
        <vertAlign val="subscript"/>
        <sz val="12"/>
        <rFont val="Arial"/>
        <family val="2"/>
      </rPr>
      <t>ANO</t>
    </r>
    <r>
      <rPr>
        <sz val="12"/>
        <rFont val="Arial"/>
        <family val="2"/>
      </rPr>
      <t>)/</t>
    </r>
    <r>
      <rPr>
        <i/>
        <sz val="12"/>
        <rFont val="Arial"/>
        <family val="2"/>
      </rPr>
      <t>Y</t>
    </r>
    <r>
      <rPr>
        <vertAlign val="subscript"/>
        <sz val="12"/>
        <rFont val="Arial"/>
        <family val="2"/>
      </rPr>
      <t>ANO</t>
    </r>
  </si>
  <si>
    <r>
      <t>-1/</t>
    </r>
    <r>
      <rPr>
        <i/>
        <sz val="12"/>
        <rFont val="Arial"/>
        <family val="2"/>
      </rPr>
      <t>Y</t>
    </r>
    <r>
      <rPr>
        <vertAlign val="subscript"/>
        <sz val="12"/>
        <rFont val="Arial"/>
        <family val="2"/>
      </rPr>
      <t>ANO</t>
    </r>
    <r>
      <rPr>
        <sz val="12"/>
        <rFont val="Arial"/>
        <family val="2"/>
      </rPr>
      <t>-</t>
    </r>
    <r>
      <rPr>
        <i/>
        <sz val="12"/>
        <rFont val="Arial"/>
        <family val="2"/>
      </rPr>
      <t>i</t>
    </r>
    <r>
      <rPr>
        <vertAlign val="subscript"/>
        <sz val="12"/>
        <rFont val="Arial"/>
        <family val="2"/>
      </rPr>
      <t>N_XBio</t>
    </r>
  </si>
  <si>
    <r>
      <t>1/</t>
    </r>
    <r>
      <rPr>
        <i/>
        <sz val="12"/>
        <rFont val="Arial"/>
        <family val="2"/>
      </rPr>
      <t>Y</t>
    </r>
    <r>
      <rPr>
        <vertAlign val="subscript"/>
        <sz val="12"/>
        <rFont val="Arial"/>
        <family val="2"/>
      </rPr>
      <t>ANO</t>
    </r>
  </si>
  <si>
    <r>
      <t>v</t>
    </r>
    <r>
      <rPr>
        <vertAlign val="subscript"/>
        <sz val="12"/>
        <rFont val="Arial"/>
        <family val="2"/>
      </rPr>
      <t>10_SNHx</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10_SNOx</t>
    </r>
    <r>
      <rPr>
        <sz val="12"/>
        <rFont val="Arial"/>
        <family val="2"/>
      </rPr>
      <t>*</t>
    </r>
    <r>
      <rPr>
        <i/>
        <sz val="12"/>
        <rFont val="Arial"/>
        <family val="2"/>
      </rPr>
      <t>i</t>
    </r>
    <r>
      <rPr>
        <vertAlign val="subscript"/>
        <sz val="12"/>
        <rFont val="Arial"/>
        <family val="2"/>
      </rPr>
      <t>Charge_NOx</t>
    </r>
  </si>
  <si>
    <r>
      <t>μ</t>
    </r>
    <r>
      <rPr>
        <vertAlign val="subscript"/>
        <sz val="12"/>
        <rFont val="Arial"/>
        <family val="2"/>
      </rPr>
      <t>ANO,Max</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O2,ANO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NH4</t>
    </r>
    <r>
      <rPr>
        <sz val="12"/>
        <rFont val="Arial"/>
        <family val="2"/>
      </rPr>
      <t>/(</t>
    </r>
    <r>
      <rPr>
        <i/>
        <sz val="12"/>
        <rFont val="Arial"/>
        <family val="2"/>
      </rPr>
      <t>K</t>
    </r>
    <r>
      <rPr>
        <vertAlign val="subscript"/>
        <sz val="12"/>
        <rFont val="Arial"/>
        <family val="2"/>
      </rPr>
      <t>NHx,ANO</t>
    </r>
    <r>
      <rPr>
        <sz val="12"/>
        <rFont val="Arial"/>
        <family val="2"/>
      </rPr>
      <t>+</t>
    </r>
    <r>
      <rPr>
        <i/>
        <sz val="12"/>
        <rFont val="Arial"/>
        <family val="2"/>
      </rPr>
      <t>S</t>
    </r>
    <r>
      <rPr>
        <vertAlign val="subscript"/>
        <sz val="12"/>
        <rFont val="Arial"/>
        <family val="2"/>
      </rPr>
      <t>NH4</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K</t>
    </r>
    <r>
      <rPr>
        <vertAlign val="subscript"/>
        <sz val="12"/>
        <rFont val="Arial"/>
        <family val="2"/>
      </rPr>
      <t>Alk,ANO</t>
    </r>
    <r>
      <rPr>
        <sz val="12"/>
        <rFont val="Arial"/>
        <family val="2"/>
      </rPr>
      <t>+</t>
    </r>
    <r>
      <rPr>
        <i/>
        <sz val="12"/>
        <rFont val="Arial"/>
        <family val="2"/>
      </rPr>
      <t>S</t>
    </r>
    <r>
      <rPr>
        <vertAlign val="subscript"/>
        <sz val="12"/>
        <rFont val="Arial"/>
        <family val="2"/>
      </rPr>
      <t>Alk</t>
    </r>
    <r>
      <rPr>
        <sz val="12"/>
        <rFont val="Arial"/>
        <family val="2"/>
      </rPr>
      <t>)]*</t>
    </r>
    <r>
      <rPr>
        <i/>
        <sz val="12"/>
        <rFont val="Arial"/>
        <family val="2"/>
      </rPr>
      <t>X</t>
    </r>
    <r>
      <rPr>
        <vertAlign val="subscript"/>
        <sz val="12"/>
        <rFont val="Arial"/>
        <family val="2"/>
      </rPr>
      <t>ANO</t>
    </r>
  </si>
  <si>
    <r>
      <t>Conversion factor for NH</t>
    </r>
    <r>
      <rPr>
        <vertAlign val="subscript"/>
        <sz val="10"/>
        <color indexed="8"/>
        <rFont val="Arial"/>
        <family val="2"/>
      </rPr>
      <t>x</t>
    </r>
    <r>
      <rPr>
        <sz val="10"/>
        <color indexed="8"/>
        <rFont val="Arial"/>
        <family val="2"/>
      </rPr>
      <t xml:space="preserve"> in charge</t>
    </r>
  </si>
  <si>
    <r>
      <t>Aerobic endogenous respiration of X</t>
    </r>
    <r>
      <rPr>
        <b/>
        <vertAlign val="subscript"/>
        <sz val="11"/>
        <rFont val="Arial"/>
        <family val="2"/>
      </rPr>
      <t>ANO</t>
    </r>
  </si>
  <si>
    <r>
      <t>v</t>
    </r>
    <r>
      <rPr>
        <vertAlign val="subscript"/>
        <sz val="12"/>
        <rFont val="Arial"/>
        <family val="2"/>
      </rPr>
      <t>11_SNHx</t>
    </r>
    <r>
      <rPr>
        <sz val="12"/>
        <rFont val="Arial"/>
        <family val="2"/>
      </rPr>
      <t>*</t>
    </r>
    <r>
      <rPr>
        <i/>
        <sz val="12"/>
        <rFont val="Arial"/>
        <family val="2"/>
      </rPr>
      <t>i</t>
    </r>
    <r>
      <rPr>
        <vertAlign val="subscript"/>
        <sz val="12"/>
        <rFont val="Arial"/>
        <family val="2"/>
      </rPr>
      <t>Charge_NHx</t>
    </r>
  </si>
  <si>
    <r>
      <t>m</t>
    </r>
    <r>
      <rPr>
        <vertAlign val="subscript"/>
        <sz val="12"/>
        <rFont val="Arial"/>
        <family val="2"/>
      </rPr>
      <t>ANO,Ox</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K</t>
    </r>
    <r>
      <rPr>
        <vertAlign val="subscript"/>
        <sz val="12"/>
        <rFont val="Arial"/>
        <family val="2"/>
      </rPr>
      <t>O2,ANO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X</t>
    </r>
    <r>
      <rPr>
        <vertAlign val="subscript"/>
        <sz val="12"/>
        <rFont val="Arial"/>
        <family val="2"/>
      </rPr>
      <t>ANO</t>
    </r>
  </si>
  <si>
    <r>
      <t>Conversion factor for NO</t>
    </r>
    <r>
      <rPr>
        <vertAlign val="subscript"/>
        <sz val="10"/>
        <color indexed="8"/>
        <rFont val="Arial"/>
        <family val="2"/>
      </rPr>
      <t>3</t>
    </r>
    <r>
      <rPr>
        <sz val="10"/>
        <color indexed="8"/>
        <rFont val="Arial"/>
        <family val="2"/>
      </rPr>
      <t xml:space="preserve"> in charge</t>
    </r>
  </si>
  <si>
    <r>
      <t>Anoxic endogenous respiration of X</t>
    </r>
    <r>
      <rPr>
        <b/>
        <vertAlign val="subscript"/>
        <sz val="11"/>
        <rFont val="Arial"/>
        <family val="2"/>
      </rPr>
      <t>ANO</t>
    </r>
  </si>
  <si>
    <r>
      <t>v</t>
    </r>
    <r>
      <rPr>
        <vertAlign val="subscript"/>
        <sz val="12"/>
        <rFont val="Arial"/>
        <family val="2"/>
      </rPr>
      <t>12_SNHx</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12_SNOx</t>
    </r>
    <r>
      <rPr>
        <sz val="12"/>
        <rFont val="Arial"/>
        <family val="2"/>
      </rPr>
      <t>*</t>
    </r>
    <r>
      <rPr>
        <i/>
        <sz val="12"/>
        <rFont val="Arial"/>
        <family val="2"/>
      </rPr>
      <t>i</t>
    </r>
    <r>
      <rPr>
        <vertAlign val="subscript"/>
        <sz val="12"/>
        <rFont val="Arial"/>
        <family val="2"/>
      </rPr>
      <t>Charge_NOx</t>
    </r>
  </si>
  <si>
    <r>
      <t>m</t>
    </r>
    <r>
      <rPr>
        <vertAlign val="subscript"/>
        <sz val="12"/>
        <rFont val="Arial"/>
        <family val="2"/>
      </rPr>
      <t>ANO,Ax</t>
    </r>
    <r>
      <rPr>
        <sz val="12"/>
        <rFont val="Arial"/>
        <family val="2"/>
      </rPr>
      <t>*[</t>
    </r>
    <r>
      <rPr>
        <i/>
        <sz val="12"/>
        <rFont val="Arial"/>
        <family val="2"/>
      </rPr>
      <t>K</t>
    </r>
    <r>
      <rPr>
        <vertAlign val="subscript"/>
        <sz val="12"/>
        <rFont val="Arial"/>
        <family val="2"/>
      </rPr>
      <t>O2,ANO</t>
    </r>
    <r>
      <rPr>
        <sz val="12"/>
        <rFont val="Arial"/>
        <family val="2"/>
      </rPr>
      <t>/(</t>
    </r>
    <r>
      <rPr>
        <i/>
        <sz val="12"/>
        <rFont val="Arial"/>
        <family val="2"/>
      </rPr>
      <t>K</t>
    </r>
    <r>
      <rPr>
        <vertAlign val="subscript"/>
        <sz val="12"/>
        <rFont val="Arial"/>
        <family val="2"/>
      </rPr>
      <t>O2,ANO</t>
    </r>
    <r>
      <rPr>
        <sz val="12"/>
        <rFont val="Arial"/>
        <family val="2"/>
      </rPr>
      <t>+</t>
    </r>
    <r>
      <rPr>
        <i/>
        <sz val="12"/>
        <rFont val="Arial"/>
        <family val="2"/>
      </rPr>
      <t>S</t>
    </r>
    <r>
      <rPr>
        <vertAlign val="subscript"/>
        <sz val="12"/>
        <rFont val="Arial"/>
        <family val="2"/>
      </rPr>
      <t>O2</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K</t>
    </r>
    <r>
      <rPr>
        <vertAlign val="subscript"/>
        <sz val="12"/>
        <rFont val="Arial"/>
        <family val="2"/>
      </rPr>
      <t>NOx,OHO</t>
    </r>
    <r>
      <rPr>
        <sz val="12"/>
        <rFont val="Arial"/>
        <family val="2"/>
      </rPr>
      <t>+</t>
    </r>
    <r>
      <rPr>
        <i/>
        <sz val="12"/>
        <rFont val="Arial"/>
        <family val="2"/>
      </rPr>
      <t>S</t>
    </r>
    <r>
      <rPr>
        <vertAlign val="subscript"/>
        <sz val="12"/>
        <rFont val="Arial"/>
        <family val="2"/>
      </rPr>
      <t>NOX</t>
    </r>
    <r>
      <rPr>
        <sz val="12"/>
        <rFont val="Arial"/>
        <family val="2"/>
      </rPr>
      <t>)]*</t>
    </r>
    <r>
      <rPr>
        <i/>
        <sz val="12"/>
        <rFont val="Arial"/>
        <family val="2"/>
      </rPr>
      <t>X</t>
    </r>
    <r>
      <rPr>
        <vertAlign val="subscript"/>
        <sz val="12"/>
        <rFont val="Arial"/>
        <family val="2"/>
      </rPr>
      <t>ANO</t>
    </r>
  </si>
  <si>
    <r>
      <t>Rate constant for X</t>
    </r>
    <r>
      <rPr>
        <vertAlign val="subscript"/>
        <sz val="10"/>
        <rFont val="Arial"/>
        <family val="2"/>
      </rPr>
      <t>OHO,Stor</t>
    </r>
    <r>
      <rPr>
        <sz val="10"/>
        <rFont val="Arial"/>
        <family val="2"/>
      </rPr>
      <t xml:space="preserve"> storage</t>
    </r>
  </si>
  <si>
    <r>
      <t>Half saturation parameter X</t>
    </r>
    <r>
      <rPr>
        <vertAlign val="subscript"/>
        <sz val="10"/>
        <rFont val="Arial"/>
        <family val="2"/>
      </rPr>
      <t>OHO,Stor</t>
    </r>
    <r>
      <rPr>
        <sz val="10"/>
        <rFont val="Arial"/>
        <family val="2"/>
      </rPr>
      <t>/X</t>
    </r>
    <r>
      <rPr>
        <vertAlign val="subscript"/>
        <sz val="10"/>
        <rFont val="Arial"/>
        <family val="2"/>
      </rPr>
      <t>OHO</t>
    </r>
  </si>
  <si>
    <r>
      <t>g X</t>
    </r>
    <r>
      <rPr>
        <vertAlign val="subscript"/>
        <sz val="8"/>
        <rFont val="Arial"/>
        <family val="2"/>
      </rPr>
      <t>Stor</t>
    </r>
    <r>
      <rPr>
        <sz val="8"/>
        <rFont val="Arial"/>
        <family val="2"/>
      </rPr>
      <t>.g X</t>
    </r>
    <r>
      <rPr>
        <vertAlign val="subscript"/>
        <sz val="8"/>
        <rFont val="Arial"/>
        <family val="2"/>
      </rPr>
      <t>OHO</t>
    </r>
    <r>
      <rPr>
        <vertAlign val="superscript"/>
        <sz val="10"/>
        <rFont val="Arial"/>
        <family val="2"/>
      </rPr>
      <t>-1</t>
    </r>
  </si>
  <si>
    <r>
      <t>Endogenous respiration rate of X</t>
    </r>
    <r>
      <rPr>
        <vertAlign val="subscript"/>
        <sz val="10"/>
        <rFont val="Arial"/>
        <family val="2"/>
      </rPr>
      <t>OHO</t>
    </r>
    <r>
      <rPr>
        <sz val="10"/>
        <rFont val="Arial"/>
        <family val="2"/>
      </rPr>
      <t xml:space="preserve"> (Aerobic)</t>
    </r>
  </si>
  <si>
    <r>
      <t>Endogenous respiration rate of X</t>
    </r>
    <r>
      <rPr>
        <vertAlign val="subscript"/>
        <sz val="10"/>
        <rFont val="Arial"/>
        <family val="2"/>
      </rPr>
      <t>OHO</t>
    </r>
    <r>
      <rPr>
        <sz val="10"/>
        <rFont val="Arial"/>
        <family val="2"/>
      </rPr>
      <t xml:space="preserve"> (Anoxic)</t>
    </r>
  </si>
  <si>
    <r>
      <t>Endogenous respiration rate of X</t>
    </r>
    <r>
      <rPr>
        <vertAlign val="subscript"/>
        <sz val="10"/>
        <rFont val="Arial"/>
        <family val="2"/>
      </rPr>
      <t>OHO,Stor</t>
    </r>
    <r>
      <rPr>
        <sz val="10"/>
        <rFont val="Arial"/>
        <family val="2"/>
      </rPr>
      <t xml:space="preserve"> (Aerobic)</t>
    </r>
  </si>
  <si>
    <r>
      <t>Endogenous respiration rate of X</t>
    </r>
    <r>
      <rPr>
        <vertAlign val="subscript"/>
        <sz val="10"/>
        <rFont val="Arial"/>
        <family val="2"/>
      </rPr>
      <t>OHO,Stor</t>
    </r>
    <r>
      <rPr>
        <sz val="10"/>
        <rFont val="Arial"/>
        <family val="2"/>
      </rPr>
      <t xml:space="preserve"> (Anoxic)</t>
    </r>
  </si>
  <si>
    <r>
      <t>Endogenous respiration rate for X</t>
    </r>
    <r>
      <rPr>
        <vertAlign val="subscript"/>
        <sz val="10"/>
        <rFont val="Arial"/>
        <family val="2"/>
      </rPr>
      <t>ANO</t>
    </r>
    <r>
      <rPr>
        <sz val="10"/>
        <rFont val="Arial"/>
        <family val="2"/>
      </rPr>
      <t xml:space="preserve"> (Aerobic)</t>
    </r>
  </si>
  <si>
    <r>
      <t>Endogenous respiration rate for X</t>
    </r>
    <r>
      <rPr>
        <vertAlign val="subscript"/>
        <sz val="10"/>
        <rFont val="Arial"/>
        <family val="2"/>
      </rPr>
      <t>ANO</t>
    </r>
    <r>
      <rPr>
        <sz val="10"/>
        <rFont val="Arial"/>
        <family val="2"/>
      </rPr>
      <t xml:space="preserve"> (Anoxic)</t>
    </r>
  </si>
  <si>
    <r>
      <t>Anoxic growth of X</t>
    </r>
    <r>
      <rPr>
        <b/>
        <vertAlign val="subscript"/>
        <sz val="11"/>
        <rFont val="Arial"/>
        <family val="2"/>
      </rPr>
      <t>H</t>
    </r>
    <r>
      <rPr>
        <b/>
        <sz val="11"/>
        <rFont val="Arial"/>
        <family val="2"/>
      </rPr>
      <t xml:space="preserve"> (denitrification)</t>
    </r>
  </si>
  <si>
    <r>
      <t>Aerobic resp. of X</t>
    </r>
    <r>
      <rPr>
        <b/>
        <vertAlign val="subscript"/>
        <sz val="11"/>
        <rFont val="Arial"/>
        <family val="2"/>
      </rPr>
      <t>STO</t>
    </r>
  </si>
  <si>
    <r>
      <t>Anoxic resp. of X</t>
    </r>
    <r>
      <rPr>
        <b/>
        <vertAlign val="subscript"/>
        <sz val="11"/>
        <rFont val="Arial"/>
        <family val="2"/>
      </rPr>
      <t>STO</t>
    </r>
  </si>
  <si>
    <r>
      <t>Growth of X</t>
    </r>
    <r>
      <rPr>
        <b/>
        <vertAlign val="subscript"/>
        <sz val="11"/>
        <rFont val="Arial"/>
        <family val="2"/>
      </rPr>
      <t>A</t>
    </r>
    <r>
      <rPr>
        <b/>
        <sz val="11"/>
        <rFont val="Arial"/>
        <family val="2"/>
      </rPr>
      <t xml:space="preserve"> (Nitrification)</t>
    </r>
  </si>
  <si>
    <r>
      <t>-(1</t>
    </r>
    <r>
      <rPr>
        <sz val="12"/>
        <color indexed="10"/>
        <rFont val="Arial"/>
        <family val="2"/>
      </rPr>
      <t>-</t>
    </r>
    <r>
      <rPr>
        <i/>
        <sz val="12"/>
        <color indexed="10"/>
        <rFont val="Arial"/>
        <family val="2"/>
      </rPr>
      <t>f</t>
    </r>
    <r>
      <rPr>
        <vertAlign val="subscript"/>
        <sz val="12"/>
        <color indexed="10"/>
        <rFont val="Arial"/>
        <family val="2"/>
      </rPr>
      <t>SI</t>
    </r>
    <r>
      <rPr>
        <sz val="12"/>
        <rFont val="Arial"/>
        <family val="2"/>
      </rPr>
      <t>)*</t>
    </r>
    <r>
      <rPr>
        <i/>
        <sz val="12"/>
        <rFont val="Arial"/>
        <family val="2"/>
      </rPr>
      <t>i</t>
    </r>
    <r>
      <rPr>
        <vertAlign val="subscript"/>
        <sz val="12"/>
        <rFont val="Arial"/>
        <family val="2"/>
      </rPr>
      <t>P,SS</t>
    </r>
    <r>
      <rPr>
        <sz val="12"/>
        <color indexed="10"/>
        <rFont val="Arial"/>
        <family val="2"/>
      </rPr>
      <t>-</t>
    </r>
    <r>
      <rPr>
        <i/>
        <sz val="12"/>
        <color indexed="10"/>
        <rFont val="Arial"/>
        <family val="2"/>
      </rPr>
      <t>f</t>
    </r>
    <r>
      <rPr>
        <vertAlign val="subscript"/>
        <sz val="12"/>
        <color indexed="10"/>
        <rFont val="Arial"/>
        <family val="2"/>
      </rPr>
      <t>SI</t>
    </r>
    <r>
      <rPr>
        <sz val="12"/>
        <color indexed="10"/>
        <rFont val="Arial"/>
        <family val="2"/>
      </rPr>
      <t>*</t>
    </r>
    <r>
      <rPr>
        <i/>
        <sz val="12"/>
        <color indexed="10"/>
        <rFont val="Arial"/>
        <family val="2"/>
      </rPr>
      <t>i</t>
    </r>
    <r>
      <rPr>
        <vertAlign val="subscript"/>
        <sz val="12"/>
        <color indexed="10"/>
        <rFont val="Arial"/>
        <family val="2"/>
      </rPr>
      <t>P,SI</t>
    </r>
    <r>
      <rPr>
        <sz val="12"/>
        <rFont val="Arial"/>
        <family val="2"/>
      </rPr>
      <t>+</t>
    </r>
    <r>
      <rPr>
        <i/>
        <sz val="12"/>
        <rFont val="Arial"/>
        <family val="2"/>
      </rPr>
      <t>i</t>
    </r>
    <r>
      <rPr>
        <vertAlign val="subscript"/>
        <sz val="12"/>
        <rFont val="Arial"/>
        <family val="2"/>
      </rPr>
      <t>P,XS</t>
    </r>
  </si>
  <si>
    <r>
      <t>v</t>
    </r>
    <r>
      <rPr>
        <vertAlign val="subscript"/>
        <sz val="12"/>
        <rFont val="Arial"/>
        <family val="2"/>
      </rPr>
      <t>1_NH4</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1_PO4</t>
    </r>
    <r>
      <rPr>
        <sz val="12"/>
        <rFont val="Arial"/>
        <family val="2"/>
      </rPr>
      <t>*</t>
    </r>
    <r>
      <rPr>
        <i/>
        <sz val="12"/>
        <rFont val="Arial"/>
        <family val="2"/>
      </rPr>
      <t>i</t>
    </r>
    <r>
      <rPr>
        <vertAlign val="subscript"/>
        <sz val="12"/>
        <rFont val="Arial"/>
        <family val="2"/>
      </rPr>
      <t>Charge_PO4</t>
    </r>
  </si>
  <si>
    <r>
      <t>-</t>
    </r>
    <r>
      <rPr>
        <i/>
        <sz val="12"/>
        <rFont val="Arial"/>
        <family val="2"/>
      </rPr>
      <t>i</t>
    </r>
    <r>
      <rPr>
        <vertAlign val="subscript"/>
        <sz val="12"/>
        <rFont val="Arial"/>
        <family val="2"/>
      </rPr>
      <t>TSS,XS</t>
    </r>
  </si>
  <si>
    <r>
      <t>k</t>
    </r>
    <r>
      <rPr>
        <vertAlign val="subscript"/>
        <sz val="12"/>
        <rFont val="Arial"/>
        <family val="2"/>
      </rPr>
      <t>H</t>
    </r>
    <r>
      <rPr>
        <sz val="12"/>
        <rFont val="Arial"/>
        <family val="2"/>
      </rPr>
      <t>*[(</t>
    </r>
    <r>
      <rPr>
        <i/>
        <sz val="12"/>
        <rFont val="Arial"/>
        <family val="2"/>
      </rPr>
      <t>X</t>
    </r>
    <r>
      <rPr>
        <vertAlign val="subscript"/>
        <sz val="12"/>
        <rFont val="Arial"/>
        <family val="2"/>
      </rPr>
      <t>S</t>
    </r>
    <r>
      <rPr>
        <sz val="12"/>
        <rFont val="Arial"/>
        <family val="2"/>
      </rPr>
      <t>/</t>
    </r>
    <r>
      <rPr>
        <i/>
        <sz val="12"/>
        <rFont val="Arial"/>
        <family val="2"/>
      </rPr>
      <t>X</t>
    </r>
    <r>
      <rPr>
        <vertAlign val="subscript"/>
        <sz val="12"/>
        <rFont val="Arial"/>
        <family val="2"/>
      </rPr>
      <t>H</t>
    </r>
    <r>
      <rPr>
        <sz val="12"/>
        <rFont val="Arial"/>
        <family val="2"/>
      </rPr>
      <t>)/(</t>
    </r>
    <r>
      <rPr>
        <i/>
        <sz val="12"/>
        <rFont val="Arial"/>
        <family val="2"/>
      </rPr>
      <t>K</t>
    </r>
    <r>
      <rPr>
        <vertAlign val="subscript"/>
        <sz val="12"/>
        <rFont val="Arial"/>
        <family val="2"/>
      </rPr>
      <t>X</t>
    </r>
    <r>
      <rPr>
        <sz val="12"/>
        <rFont val="Arial"/>
        <family val="2"/>
      </rPr>
      <t>+</t>
    </r>
    <r>
      <rPr>
        <i/>
        <sz val="12"/>
        <rFont val="Arial"/>
        <family val="2"/>
      </rPr>
      <t>X</t>
    </r>
    <r>
      <rPr>
        <vertAlign val="subscript"/>
        <sz val="12"/>
        <rFont val="Arial"/>
        <family val="2"/>
      </rPr>
      <t>S</t>
    </r>
    <r>
      <rPr>
        <sz val="12"/>
        <rFont val="Arial"/>
        <family val="2"/>
      </rPr>
      <t>/</t>
    </r>
    <r>
      <rPr>
        <i/>
        <sz val="12"/>
        <rFont val="Arial"/>
        <family val="2"/>
      </rPr>
      <t>X</t>
    </r>
    <r>
      <rPr>
        <vertAlign val="subscript"/>
        <sz val="12"/>
        <rFont val="Arial"/>
        <family val="2"/>
      </rPr>
      <t>H</t>
    </r>
    <r>
      <rPr>
        <sz val="12"/>
        <rFont val="Arial"/>
        <family val="2"/>
      </rPr>
      <t>)]*</t>
    </r>
    <r>
      <rPr>
        <i/>
        <sz val="12"/>
        <rFont val="Arial"/>
        <family val="2"/>
      </rPr>
      <t>X</t>
    </r>
    <r>
      <rPr>
        <vertAlign val="subscript"/>
        <sz val="12"/>
        <rFont val="Arial"/>
        <family val="2"/>
      </rPr>
      <t>H</t>
    </r>
  </si>
  <si>
    <r>
      <t>v</t>
    </r>
    <r>
      <rPr>
        <vertAlign val="subscript"/>
        <sz val="12"/>
        <rFont val="Arial"/>
        <family val="2"/>
      </rPr>
      <t>2_NH4</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2_PO4</t>
    </r>
    <r>
      <rPr>
        <sz val="12"/>
        <rFont val="Arial"/>
        <family val="2"/>
      </rPr>
      <t>*</t>
    </r>
    <r>
      <rPr>
        <i/>
        <sz val="12"/>
        <rFont val="Arial"/>
        <family val="2"/>
      </rPr>
      <t>i</t>
    </r>
    <r>
      <rPr>
        <vertAlign val="subscript"/>
        <sz val="12"/>
        <rFont val="Arial"/>
        <family val="2"/>
      </rPr>
      <t>Charge_PO4</t>
    </r>
  </si>
  <si>
    <r>
      <t>Y</t>
    </r>
    <r>
      <rPr>
        <vertAlign val="subscript"/>
        <sz val="12"/>
        <rFont val="Arial"/>
        <family val="2"/>
      </rPr>
      <t>STO,O2</t>
    </r>
    <r>
      <rPr>
        <sz val="12"/>
        <rFont val="Arial"/>
        <family val="2"/>
      </rPr>
      <t>*</t>
    </r>
    <r>
      <rPr>
        <i/>
        <sz val="12"/>
        <rFont val="Arial"/>
        <family val="2"/>
      </rPr>
      <t>i</t>
    </r>
    <r>
      <rPr>
        <vertAlign val="subscript"/>
        <sz val="12"/>
        <rFont val="Arial"/>
        <family val="2"/>
      </rPr>
      <t>TSS,XSTO</t>
    </r>
  </si>
  <si>
    <r>
      <t>k</t>
    </r>
    <r>
      <rPr>
        <vertAlign val="subscript"/>
        <sz val="12"/>
        <rFont val="Arial"/>
        <family val="2"/>
      </rPr>
      <t>STO</t>
    </r>
    <r>
      <rPr>
        <sz val="11"/>
        <rFont val="Arial"/>
        <family val="2"/>
      </rPr>
      <t>*</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K</t>
    </r>
    <r>
      <rPr>
        <vertAlign val="subscript"/>
        <sz val="12"/>
        <rFont val="Arial"/>
        <family val="2"/>
      </rPr>
      <t>O,H</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S</t>
    </r>
    <r>
      <rPr>
        <vertAlign val="subscript"/>
        <sz val="12"/>
        <rFont val="Arial"/>
        <family val="2"/>
      </rPr>
      <t>S</t>
    </r>
    <r>
      <rPr>
        <sz val="12"/>
        <rFont val="Arial"/>
        <family val="2"/>
      </rPr>
      <t>/(</t>
    </r>
    <r>
      <rPr>
        <i/>
        <sz val="12"/>
        <rFont val="Arial"/>
        <family val="2"/>
      </rPr>
      <t>K</t>
    </r>
    <r>
      <rPr>
        <vertAlign val="subscript"/>
        <sz val="12"/>
        <rFont val="Arial"/>
        <family val="2"/>
      </rPr>
      <t>SS,H</t>
    </r>
    <r>
      <rPr>
        <sz val="12"/>
        <rFont val="Arial"/>
        <family val="2"/>
      </rPr>
      <t>+</t>
    </r>
    <r>
      <rPr>
        <i/>
        <sz val="12"/>
        <rFont val="Arial"/>
        <family val="2"/>
      </rPr>
      <t>S</t>
    </r>
    <r>
      <rPr>
        <vertAlign val="subscript"/>
        <sz val="12"/>
        <rFont val="Arial"/>
        <family val="2"/>
      </rPr>
      <t>S</t>
    </r>
    <r>
      <rPr>
        <sz val="12"/>
        <rFont val="Arial"/>
        <family val="2"/>
      </rPr>
      <t>)]*</t>
    </r>
    <r>
      <rPr>
        <i/>
        <sz val="12"/>
        <rFont val="Arial"/>
        <family val="2"/>
      </rPr>
      <t>X</t>
    </r>
    <r>
      <rPr>
        <vertAlign val="subscript"/>
        <sz val="12"/>
        <rFont val="Arial"/>
        <family val="2"/>
      </rPr>
      <t>H</t>
    </r>
  </si>
  <si>
    <r>
      <t>-(1-</t>
    </r>
    <r>
      <rPr>
        <i/>
        <sz val="12"/>
        <rFont val="Arial"/>
        <family val="2"/>
      </rPr>
      <t>Y</t>
    </r>
    <r>
      <rPr>
        <vertAlign val="subscript"/>
        <sz val="12"/>
        <rFont val="Arial"/>
        <family val="2"/>
      </rPr>
      <t>STO,NO</t>
    </r>
    <r>
      <rPr>
        <sz val="12"/>
        <rFont val="Arial"/>
        <family val="2"/>
      </rPr>
      <t>)/(</t>
    </r>
    <r>
      <rPr>
        <i/>
        <sz val="12"/>
        <rFont val="Arial"/>
        <family val="2"/>
      </rPr>
      <t>i</t>
    </r>
    <r>
      <rPr>
        <vertAlign val="subscript"/>
        <sz val="12"/>
        <rFont val="Arial"/>
        <family val="2"/>
      </rPr>
      <t>NOx,N2</t>
    </r>
    <r>
      <rPr>
        <sz val="12"/>
        <rFont val="Arial"/>
        <family val="2"/>
      </rPr>
      <t>)</t>
    </r>
  </si>
  <si>
    <r>
      <t>(1-</t>
    </r>
    <r>
      <rPr>
        <i/>
        <sz val="12"/>
        <rFont val="Arial"/>
        <family val="2"/>
      </rPr>
      <t>Y</t>
    </r>
    <r>
      <rPr>
        <vertAlign val="subscript"/>
        <sz val="12"/>
        <rFont val="Arial"/>
        <family val="2"/>
      </rPr>
      <t>STO,NO</t>
    </r>
    <r>
      <rPr>
        <sz val="12"/>
        <rFont val="Arial"/>
        <family val="2"/>
      </rPr>
      <t>)/(</t>
    </r>
    <r>
      <rPr>
        <i/>
        <sz val="12"/>
        <rFont val="Arial"/>
        <family val="2"/>
      </rPr>
      <t>i</t>
    </r>
    <r>
      <rPr>
        <vertAlign val="subscript"/>
        <sz val="12"/>
        <rFont val="Arial"/>
        <family val="2"/>
      </rPr>
      <t>NOx,N2</t>
    </r>
    <r>
      <rPr>
        <sz val="12"/>
        <rFont val="Arial"/>
        <family val="2"/>
      </rPr>
      <t>)</t>
    </r>
  </si>
  <si>
    <r>
      <t>v</t>
    </r>
    <r>
      <rPr>
        <vertAlign val="subscript"/>
        <sz val="12"/>
        <rFont val="Arial"/>
        <family val="2"/>
      </rPr>
      <t>3_NH4</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3_NO</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v</t>
    </r>
    <r>
      <rPr>
        <vertAlign val="subscript"/>
        <sz val="12"/>
        <rFont val="Arial"/>
        <family val="2"/>
      </rPr>
      <t>3_PO4</t>
    </r>
    <r>
      <rPr>
        <sz val="12"/>
        <rFont val="Arial"/>
        <family val="2"/>
      </rPr>
      <t>*</t>
    </r>
    <r>
      <rPr>
        <i/>
        <sz val="12"/>
        <rFont val="Arial"/>
        <family val="2"/>
      </rPr>
      <t>i</t>
    </r>
    <r>
      <rPr>
        <vertAlign val="subscript"/>
        <sz val="12"/>
        <rFont val="Arial"/>
        <family val="2"/>
      </rPr>
      <t>Charge_PO4</t>
    </r>
  </si>
  <si>
    <r>
      <t>Y</t>
    </r>
    <r>
      <rPr>
        <vertAlign val="subscript"/>
        <sz val="12"/>
        <rFont val="Arial"/>
        <family val="2"/>
      </rPr>
      <t>STO,NO</t>
    </r>
    <r>
      <rPr>
        <sz val="12"/>
        <rFont val="Arial"/>
        <family val="2"/>
      </rPr>
      <t>*</t>
    </r>
    <r>
      <rPr>
        <i/>
        <sz val="12"/>
        <rFont val="Arial"/>
        <family val="2"/>
      </rPr>
      <t>i</t>
    </r>
    <r>
      <rPr>
        <vertAlign val="subscript"/>
        <sz val="12"/>
        <rFont val="Arial"/>
        <family val="2"/>
      </rPr>
      <t>TSS,XSTO</t>
    </r>
  </si>
  <si>
    <r>
      <t>k</t>
    </r>
    <r>
      <rPr>
        <vertAlign val="subscript"/>
        <sz val="12"/>
        <rFont val="Arial"/>
        <family val="2"/>
      </rPr>
      <t>STO</t>
    </r>
    <r>
      <rPr>
        <sz val="12"/>
        <rFont val="Arial"/>
        <family val="2"/>
      </rPr>
      <t>*</t>
    </r>
    <r>
      <rPr>
        <i/>
        <sz val="12"/>
        <rFont val="Arial"/>
        <family val="2"/>
      </rPr>
      <t>η</t>
    </r>
    <r>
      <rPr>
        <vertAlign val="subscript"/>
        <sz val="12"/>
        <rFont val="Arial"/>
        <family val="2"/>
      </rPr>
      <t>NO,H</t>
    </r>
    <r>
      <rPr>
        <sz val="12"/>
        <rFont val="Arial"/>
        <family val="2"/>
      </rPr>
      <t>*[</t>
    </r>
    <r>
      <rPr>
        <i/>
        <sz val="12"/>
        <rFont val="Arial"/>
        <family val="2"/>
      </rPr>
      <t>K</t>
    </r>
    <r>
      <rPr>
        <vertAlign val="subscript"/>
        <sz val="12"/>
        <rFont val="Arial"/>
        <family val="2"/>
      </rPr>
      <t>O,H</t>
    </r>
    <r>
      <rPr>
        <sz val="12"/>
        <rFont val="Arial"/>
        <family val="2"/>
      </rPr>
      <t>/(</t>
    </r>
    <r>
      <rPr>
        <i/>
        <sz val="12"/>
        <rFont val="Arial"/>
        <family val="2"/>
      </rPr>
      <t>K</t>
    </r>
    <r>
      <rPr>
        <vertAlign val="subscript"/>
        <sz val="12"/>
        <rFont val="Arial"/>
        <family val="2"/>
      </rPr>
      <t>O,H</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S</t>
    </r>
    <r>
      <rPr>
        <vertAlign val="subscript"/>
        <sz val="12"/>
        <rFont val="Arial"/>
        <family val="2"/>
      </rPr>
      <t>NO</t>
    </r>
    <r>
      <rPr>
        <sz val="12"/>
        <rFont val="Arial"/>
        <family val="2"/>
      </rPr>
      <t>/(</t>
    </r>
    <r>
      <rPr>
        <i/>
        <sz val="12"/>
        <rFont val="Arial"/>
        <family val="2"/>
      </rPr>
      <t>K</t>
    </r>
    <r>
      <rPr>
        <vertAlign val="subscript"/>
        <sz val="12"/>
        <rFont val="Arial"/>
        <family val="2"/>
      </rPr>
      <t>NO,H</t>
    </r>
    <r>
      <rPr>
        <sz val="12"/>
        <rFont val="Arial"/>
        <family val="2"/>
      </rPr>
      <t>+</t>
    </r>
    <r>
      <rPr>
        <i/>
        <sz val="12"/>
        <rFont val="Arial"/>
        <family val="2"/>
      </rPr>
      <t>S</t>
    </r>
    <r>
      <rPr>
        <vertAlign val="subscript"/>
        <sz val="12"/>
        <rFont val="Arial"/>
        <family val="2"/>
      </rPr>
      <t>NO</t>
    </r>
    <r>
      <rPr>
        <sz val="12"/>
        <rFont val="Arial"/>
        <family val="2"/>
      </rPr>
      <t>)]*[</t>
    </r>
    <r>
      <rPr>
        <i/>
        <sz val="12"/>
        <rFont val="Arial"/>
        <family val="2"/>
      </rPr>
      <t>S</t>
    </r>
    <r>
      <rPr>
        <vertAlign val="subscript"/>
        <sz val="12"/>
        <rFont val="Arial"/>
        <family val="2"/>
      </rPr>
      <t>S</t>
    </r>
    <r>
      <rPr>
        <sz val="12"/>
        <rFont val="Arial"/>
        <family val="2"/>
      </rPr>
      <t>/(</t>
    </r>
    <r>
      <rPr>
        <i/>
        <sz val="12"/>
        <rFont val="Arial"/>
        <family val="2"/>
      </rPr>
      <t>K</t>
    </r>
    <r>
      <rPr>
        <vertAlign val="subscript"/>
        <sz val="12"/>
        <rFont val="Arial"/>
        <family val="2"/>
      </rPr>
      <t>SS,H</t>
    </r>
    <r>
      <rPr>
        <sz val="12"/>
        <rFont val="Arial"/>
        <family val="2"/>
      </rPr>
      <t>+</t>
    </r>
    <r>
      <rPr>
        <i/>
        <sz val="12"/>
        <rFont val="Arial"/>
        <family val="2"/>
      </rPr>
      <t>S</t>
    </r>
    <r>
      <rPr>
        <vertAlign val="subscript"/>
        <sz val="12"/>
        <rFont val="Arial"/>
        <family val="2"/>
      </rPr>
      <t>S</t>
    </r>
    <r>
      <rPr>
        <sz val="12"/>
        <rFont val="Arial"/>
        <family val="2"/>
      </rPr>
      <t>)]*</t>
    </r>
    <r>
      <rPr>
        <i/>
        <sz val="12"/>
        <rFont val="Arial"/>
        <family val="2"/>
      </rPr>
      <t>X</t>
    </r>
    <r>
      <rPr>
        <vertAlign val="subscript"/>
        <sz val="12"/>
        <rFont val="Arial"/>
        <family val="2"/>
      </rPr>
      <t>H</t>
    </r>
  </si>
  <si>
    <r>
      <t>-</t>
    </r>
    <r>
      <rPr>
        <i/>
        <sz val="12"/>
        <rFont val="Arial"/>
        <family val="2"/>
      </rPr>
      <t>i</t>
    </r>
    <r>
      <rPr>
        <vertAlign val="subscript"/>
        <sz val="12"/>
        <rFont val="Arial"/>
        <family val="2"/>
      </rPr>
      <t>P,BM</t>
    </r>
  </si>
  <si>
    <r>
      <t>v</t>
    </r>
    <r>
      <rPr>
        <vertAlign val="subscript"/>
        <sz val="12"/>
        <rFont val="Arial"/>
        <family val="2"/>
      </rPr>
      <t>4_NH4</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4_PO4</t>
    </r>
    <r>
      <rPr>
        <sz val="12"/>
        <rFont val="Arial"/>
        <family val="2"/>
      </rPr>
      <t>*</t>
    </r>
    <r>
      <rPr>
        <i/>
        <sz val="12"/>
        <rFont val="Arial"/>
        <family val="2"/>
      </rPr>
      <t>i</t>
    </r>
    <r>
      <rPr>
        <vertAlign val="subscript"/>
        <sz val="12"/>
        <rFont val="Arial"/>
        <family val="2"/>
      </rPr>
      <t>Charge_PO4</t>
    </r>
  </si>
  <si>
    <r>
      <t>(-1/</t>
    </r>
    <r>
      <rPr>
        <i/>
        <sz val="12"/>
        <rFont val="Arial"/>
        <family val="2"/>
      </rPr>
      <t>Y</t>
    </r>
    <r>
      <rPr>
        <vertAlign val="subscript"/>
        <sz val="12"/>
        <rFont val="Arial"/>
        <family val="2"/>
      </rPr>
      <t>H,O2</t>
    </r>
    <r>
      <rPr>
        <sz val="12"/>
        <rFont val="Arial"/>
        <family val="2"/>
      </rPr>
      <t>)*</t>
    </r>
    <r>
      <rPr>
        <i/>
        <sz val="12"/>
        <rFont val="Arial"/>
        <family val="2"/>
      </rPr>
      <t>i</t>
    </r>
    <r>
      <rPr>
        <vertAlign val="subscript"/>
        <sz val="12"/>
        <rFont val="Arial"/>
        <family val="2"/>
      </rPr>
      <t>TSS,XSTO</t>
    </r>
    <r>
      <rPr>
        <sz val="12"/>
        <rFont val="Arial"/>
        <family val="2"/>
      </rPr>
      <t>+</t>
    </r>
    <r>
      <rPr>
        <i/>
        <sz val="12"/>
        <rFont val="Arial"/>
        <family val="2"/>
      </rPr>
      <t>i</t>
    </r>
    <r>
      <rPr>
        <vertAlign val="subscript"/>
        <sz val="12"/>
        <rFont val="Arial"/>
        <family val="2"/>
      </rPr>
      <t>TSS,BM</t>
    </r>
  </si>
  <si>
    <r>
      <t>μ</t>
    </r>
    <r>
      <rPr>
        <vertAlign val="subscript"/>
        <sz val="12"/>
        <rFont val="Arial"/>
        <family val="2"/>
      </rPr>
      <t>H</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K</t>
    </r>
    <r>
      <rPr>
        <vertAlign val="subscript"/>
        <sz val="12"/>
        <rFont val="Arial"/>
        <family val="2"/>
      </rPr>
      <t>O,H</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S</t>
    </r>
    <r>
      <rPr>
        <vertAlign val="subscript"/>
        <sz val="12"/>
        <rFont val="Arial"/>
        <family val="2"/>
      </rPr>
      <t>NH</t>
    </r>
    <r>
      <rPr>
        <sz val="12"/>
        <rFont val="Arial"/>
        <family val="2"/>
      </rPr>
      <t>/(</t>
    </r>
    <r>
      <rPr>
        <i/>
        <sz val="12"/>
        <rFont val="Arial"/>
        <family val="2"/>
      </rPr>
      <t>K</t>
    </r>
    <r>
      <rPr>
        <vertAlign val="subscript"/>
        <sz val="12"/>
        <rFont val="Arial"/>
        <family val="2"/>
      </rPr>
      <t>NH,H</t>
    </r>
    <r>
      <rPr>
        <sz val="12"/>
        <rFont val="Arial"/>
        <family val="2"/>
      </rPr>
      <t>+</t>
    </r>
    <r>
      <rPr>
        <i/>
        <sz val="12"/>
        <rFont val="Arial"/>
        <family val="2"/>
      </rPr>
      <t>S</t>
    </r>
    <r>
      <rPr>
        <vertAlign val="subscript"/>
        <sz val="12"/>
        <rFont val="Arial"/>
        <family val="2"/>
      </rPr>
      <t>NH</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K</t>
    </r>
    <r>
      <rPr>
        <vertAlign val="subscript"/>
        <sz val="12"/>
        <rFont val="Arial"/>
        <family val="2"/>
      </rPr>
      <t>HCO,H</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K</t>
    </r>
    <r>
      <rPr>
        <vertAlign val="subscript"/>
        <sz val="12"/>
        <rFont val="Arial"/>
        <family val="2"/>
      </rPr>
      <t>PO4,H</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X</t>
    </r>
    <r>
      <rPr>
        <vertAlign val="subscript"/>
        <sz val="12"/>
        <rFont val="Arial"/>
        <family val="2"/>
      </rPr>
      <t>STO</t>
    </r>
    <r>
      <rPr>
        <sz val="12"/>
        <rFont val="Arial"/>
        <family val="2"/>
      </rPr>
      <t>/</t>
    </r>
    <r>
      <rPr>
        <i/>
        <sz val="12"/>
        <rFont val="Arial"/>
        <family val="2"/>
      </rPr>
      <t>X</t>
    </r>
    <r>
      <rPr>
        <vertAlign val="subscript"/>
        <sz val="12"/>
        <rFont val="Arial"/>
        <family val="2"/>
      </rPr>
      <t>H</t>
    </r>
    <r>
      <rPr>
        <sz val="12"/>
        <rFont val="Arial"/>
        <family val="2"/>
      </rPr>
      <t>)/(</t>
    </r>
    <r>
      <rPr>
        <i/>
        <sz val="12"/>
        <rFont val="Arial"/>
        <family val="2"/>
      </rPr>
      <t>K</t>
    </r>
    <r>
      <rPr>
        <vertAlign val="subscript"/>
        <sz val="12"/>
        <rFont val="Arial"/>
        <family val="2"/>
      </rPr>
      <t>STO</t>
    </r>
    <r>
      <rPr>
        <sz val="12"/>
        <rFont val="Arial"/>
        <family val="2"/>
      </rPr>
      <t>+</t>
    </r>
    <r>
      <rPr>
        <i/>
        <sz val="12"/>
        <rFont val="Arial"/>
        <family val="2"/>
      </rPr>
      <t>X</t>
    </r>
    <r>
      <rPr>
        <vertAlign val="subscript"/>
        <sz val="12"/>
        <rFont val="Arial"/>
        <family val="2"/>
      </rPr>
      <t>STO</t>
    </r>
    <r>
      <rPr>
        <sz val="12"/>
        <rFont val="Arial"/>
        <family val="2"/>
      </rPr>
      <t>/</t>
    </r>
    <r>
      <rPr>
        <i/>
        <sz val="12"/>
        <rFont val="Arial"/>
        <family val="2"/>
      </rPr>
      <t>X</t>
    </r>
    <r>
      <rPr>
        <vertAlign val="subscript"/>
        <sz val="12"/>
        <rFont val="Arial"/>
        <family val="2"/>
      </rPr>
      <t>H</t>
    </r>
    <r>
      <rPr>
        <sz val="12"/>
        <rFont val="Arial"/>
        <family val="2"/>
      </rPr>
      <t>)]*</t>
    </r>
    <r>
      <rPr>
        <i/>
        <sz val="12"/>
        <rFont val="Arial"/>
        <family val="2"/>
      </rPr>
      <t>X</t>
    </r>
    <r>
      <rPr>
        <vertAlign val="subscript"/>
        <sz val="12"/>
        <rFont val="Arial"/>
        <family val="2"/>
      </rPr>
      <t>H</t>
    </r>
  </si>
  <si>
    <r>
      <t>-(1-</t>
    </r>
    <r>
      <rPr>
        <i/>
        <sz val="12"/>
        <rFont val="Arial"/>
        <family val="2"/>
      </rPr>
      <t>Y</t>
    </r>
    <r>
      <rPr>
        <vertAlign val="subscript"/>
        <sz val="12"/>
        <rFont val="Arial"/>
        <family val="2"/>
      </rPr>
      <t>H,NO</t>
    </r>
    <r>
      <rPr>
        <sz val="12"/>
        <rFont val="Arial"/>
        <family val="2"/>
      </rPr>
      <t>)/</t>
    </r>
    <r>
      <rPr>
        <i/>
        <sz val="12"/>
        <rFont val="Arial"/>
        <family val="2"/>
      </rPr>
      <t>Y</t>
    </r>
    <r>
      <rPr>
        <vertAlign val="subscript"/>
        <sz val="12"/>
        <rFont val="Arial"/>
        <family val="2"/>
      </rPr>
      <t>H,NO</t>
    </r>
    <r>
      <rPr>
        <sz val="12"/>
        <rFont val="Arial"/>
        <family val="2"/>
      </rPr>
      <t>*(1/</t>
    </r>
    <r>
      <rPr>
        <i/>
        <sz val="12"/>
        <rFont val="Arial"/>
        <family val="2"/>
      </rPr>
      <t>i</t>
    </r>
    <r>
      <rPr>
        <vertAlign val="subscript"/>
        <sz val="12"/>
        <rFont val="Arial"/>
        <family val="2"/>
      </rPr>
      <t>NOx,N2</t>
    </r>
    <r>
      <rPr>
        <sz val="12"/>
        <rFont val="Arial"/>
        <family val="2"/>
      </rPr>
      <t>)</t>
    </r>
  </si>
  <si>
    <r>
      <t>(1-</t>
    </r>
    <r>
      <rPr>
        <i/>
        <sz val="12"/>
        <rFont val="Arial"/>
        <family val="2"/>
      </rPr>
      <t>Y</t>
    </r>
    <r>
      <rPr>
        <vertAlign val="subscript"/>
        <sz val="12"/>
        <rFont val="Arial"/>
        <family val="2"/>
      </rPr>
      <t>H,NO</t>
    </r>
    <r>
      <rPr>
        <sz val="12"/>
        <rFont val="Arial"/>
        <family val="2"/>
      </rPr>
      <t>)/</t>
    </r>
    <r>
      <rPr>
        <i/>
        <sz val="12"/>
        <rFont val="Arial"/>
        <family val="2"/>
      </rPr>
      <t>Y</t>
    </r>
    <r>
      <rPr>
        <vertAlign val="subscript"/>
        <sz val="12"/>
        <rFont val="Arial"/>
        <family val="2"/>
      </rPr>
      <t>H,NO</t>
    </r>
    <r>
      <rPr>
        <sz val="12"/>
        <rFont val="Arial"/>
        <family val="2"/>
      </rPr>
      <t>*(1/</t>
    </r>
    <r>
      <rPr>
        <i/>
        <sz val="12"/>
        <rFont val="Arial"/>
        <family val="2"/>
      </rPr>
      <t>i</t>
    </r>
    <r>
      <rPr>
        <vertAlign val="subscript"/>
        <sz val="12"/>
        <rFont val="Arial"/>
        <family val="2"/>
      </rPr>
      <t>NOx,N2</t>
    </r>
    <r>
      <rPr>
        <sz val="12"/>
        <rFont val="Arial"/>
        <family val="2"/>
      </rPr>
      <t>)</t>
    </r>
  </si>
  <si>
    <r>
      <t>v</t>
    </r>
    <r>
      <rPr>
        <vertAlign val="subscript"/>
        <sz val="12"/>
        <rFont val="Arial"/>
        <family val="2"/>
      </rPr>
      <t>5_NH4</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5_NO</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v</t>
    </r>
    <r>
      <rPr>
        <vertAlign val="subscript"/>
        <sz val="12"/>
        <rFont val="Arial"/>
        <family val="2"/>
      </rPr>
      <t>5_PO4</t>
    </r>
    <r>
      <rPr>
        <sz val="12"/>
        <rFont val="Arial"/>
        <family val="2"/>
      </rPr>
      <t>*</t>
    </r>
    <r>
      <rPr>
        <i/>
        <sz val="12"/>
        <rFont val="Arial"/>
        <family val="2"/>
      </rPr>
      <t>i</t>
    </r>
    <r>
      <rPr>
        <vertAlign val="subscript"/>
        <sz val="12"/>
        <rFont val="Arial"/>
        <family val="2"/>
      </rPr>
      <t>Charge_PO4</t>
    </r>
  </si>
  <si>
    <r>
      <t>-1/</t>
    </r>
    <r>
      <rPr>
        <i/>
        <sz val="12"/>
        <rFont val="Arial"/>
        <family val="2"/>
      </rPr>
      <t>Y</t>
    </r>
    <r>
      <rPr>
        <vertAlign val="subscript"/>
        <sz val="12"/>
        <rFont val="Arial"/>
        <family val="2"/>
      </rPr>
      <t>H,NO</t>
    </r>
  </si>
  <si>
    <r>
      <t>(-1/</t>
    </r>
    <r>
      <rPr>
        <i/>
        <sz val="12"/>
        <rFont val="Arial"/>
        <family val="2"/>
      </rPr>
      <t>Y</t>
    </r>
    <r>
      <rPr>
        <vertAlign val="subscript"/>
        <sz val="12"/>
        <rFont val="Arial"/>
        <family val="2"/>
      </rPr>
      <t>H,NO</t>
    </r>
    <r>
      <rPr>
        <sz val="12"/>
        <rFont val="Arial"/>
        <family val="2"/>
      </rPr>
      <t>)*</t>
    </r>
    <r>
      <rPr>
        <i/>
        <sz val="12"/>
        <rFont val="Arial"/>
        <family val="2"/>
      </rPr>
      <t>i</t>
    </r>
    <r>
      <rPr>
        <vertAlign val="subscript"/>
        <sz val="12"/>
        <rFont val="Arial"/>
        <family val="2"/>
      </rPr>
      <t>TSS,XSTO</t>
    </r>
    <r>
      <rPr>
        <sz val="12"/>
        <rFont val="Arial"/>
        <family val="2"/>
      </rPr>
      <t>+</t>
    </r>
    <r>
      <rPr>
        <i/>
        <sz val="12"/>
        <rFont val="Arial"/>
        <family val="2"/>
      </rPr>
      <t>i</t>
    </r>
    <r>
      <rPr>
        <vertAlign val="subscript"/>
        <sz val="12"/>
        <rFont val="Arial"/>
        <family val="2"/>
      </rPr>
      <t>TSS,BM</t>
    </r>
  </si>
  <si>
    <r>
      <t>μ</t>
    </r>
    <r>
      <rPr>
        <vertAlign val="subscript"/>
        <sz val="12"/>
        <rFont val="Arial"/>
        <family val="2"/>
      </rPr>
      <t>H</t>
    </r>
    <r>
      <rPr>
        <sz val="12"/>
        <rFont val="Arial"/>
        <family val="2"/>
      </rPr>
      <t>*</t>
    </r>
    <r>
      <rPr>
        <i/>
        <sz val="12"/>
        <rFont val="Arial"/>
        <family val="2"/>
      </rPr>
      <t>η</t>
    </r>
    <r>
      <rPr>
        <vertAlign val="subscript"/>
        <sz val="12"/>
        <rFont val="Arial"/>
        <family val="2"/>
      </rPr>
      <t>NO,H</t>
    </r>
    <r>
      <rPr>
        <sz val="12"/>
        <rFont val="Arial"/>
        <family val="2"/>
      </rPr>
      <t>*[</t>
    </r>
    <r>
      <rPr>
        <i/>
        <sz val="12"/>
        <rFont val="Arial"/>
        <family val="2"/>
      </rPr>
      <t>K</t>
    </r>
    <r>
      <rPr>
        <vertAlign val="subscript"/>
        <sz val="12"/>
        <rFont val="Arial"/>
        <family val="2"/>
      </rPr>
      <t>O,H</t>
    </r>
    <r>
      <rPr>
        <sz val="12"/>
        <rFont val="Arial"/>
        <family val="2"/>
      </rPr>
      <t>/(</t>
    </r>
    <r>
      <rPr>
        <i/>
        <sz val="12"/>
        <rFont val="Arial"/>
        <family val="2"/>
      </rPr>
      <t>K</t>
    </r>
    <r>
      <rPr>
        <vertAlign val="subscript"/>
        <sz val="12"/>
        <rFont val="Arial"/>
        <family val="2"/>
      </rPr>
      <t>O,H</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S</t>
    </r>
    <r>
      <rPr>
        <vertAlign val="subscript"/>
        <sz val="12"/>
        <rFont val="Arial"/>
        <family val="2"/>
      </rPr>
      <t>NO</t>
    </r>
    <r>
      <rPr>
        <sz val="12"/>
        <rFont val="Arial"/>
        <family val="2"/>
      </rPr>
      <t>/(</t>
    </r>
    <r>
      <rPr>
        <i/>
        <sz val="12"/>
        <rFont val="Arial"/>
        <family val="2"/>
      </rPr>
      <t>K</t>
    </r>
    <r>
      <rPr>
        <vertAlign val="subscript"/>
        <sz val="12"/>
        <rFont val="Arial"/>
        <family val="2"/>
      </rPr>
      <t>NO,H</t>
    </r>
    <r>
      <rPr>
        <sz val="12"/>
        <rFont val="Arial"/>
        <family val="2"/>
      </rPr>
      <t>+</t>
    </r>
    <r>
      <rPr>
        <i/>
        <sz val="12"/>
        <rFont val="Arial"/>
        <family val="2"/>
      </rPr>
      <t>S</t>
    </r>
    <r>
      <rPr>
        <vertAlign val="subscript"/>
        <sz val="12"/>
        <rFont val="Arial"/>
        <family val="2"/>
      </rPr>
      <t>NO</t>
    </r>
    <r>
      <rPr>
        <sz val="12"/>
        <rFont val="Arial"/>
        <family val="2"/>
      </rPr>
      <t>)]*[</t>
    </r>
    <r>
      <rPr>
        <i/>
        <sz val="12"/>
        <rFont val="Arial"/>
        <family val="2"/>
      </rPr>
      <t>S</t>
    </r>
    <r>
      <rPr>
        <vertAlign val="subscript"/>
        <sz val="12"/>
        <rFont val="Arial"/>
        <family val="2"/>
      </rPr>
      <t>NH</t>
    </r>
    <r>
      <rPr>
        <sz val="12"/>
        <rFont val="Arial"/>
        <family val="2"/>
      </rPr>
      <t>/(</t>
    </r>
    <r>
      <rPr>
        <i/>
        <sz val="12"/>
        <rFont val="Arial"/>
        <family val="2"/>
      </rPr>
      <t>K</t>
    </r>
    <r>
      <rPr>
        <vertAlign val="subscript"/>
        <sz val="12"/>
        <rFont val="Arial"/>
        <family val="2"/>
      </rPr>
      <t>NH,H</t>
    </r>
    <r>
      <rPr>
        <sz val="12"/>
        <rFont val="Arial"/>
        <family val="2"/>
      </rPr>
      <t>+</t>
    </r>
    <r>
      <rPr>
        <i/>
        <sz val="12"/>
        <rFont val="Arial"/>
        <family val="2"/>
      </rPr>
      <t>S</t>
    </r>
    <r>
      <rPr>
        <vertAlign val="subscript"/>
        <sz val="12"/>
        <rFont val="Arial"/>
        <family val="2"/>
      </rPr>
      <t>NH</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K</t>
    </r>
    <r>
      <rPr>
        <vertAlign val="subscript"/>
        <sz val="12"/>
        <rFont val="Arial"/>
        <family val="2"/>
      </rPr>
      <t>HCO,H</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K</t>
    </r>
    <r>
      <rPr>
        <vertAlign val="subscript"/>
        <sz val="12"/>
        <rFont val="Arial"/>
        <family val="2"/>
      </rPr>
      <t>PO4,H</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X</t>
    </r>
    <r>
      <rPr>
        <vertAlign val="subscript"/>
        <sz val="12"/>
        <rFont val="Arial"/>
        <family val="2"/>
      </rPr>
      <t>STO</t>
    </r>
    <r>
      <rPr>
        <sz val="12"/>
        <rFont val="Arial"/>
        <family val="2"/>
      </rPr>
      <t>/</t>
    </r>
    <r>
      <rPr>
        <i/>
        <sz val="12"/>
        <rFont val="Arial"/>
        <family val="2"/>
      </rPr>
      <t>X</t>
    </r>
    <r>
      <rPr>
        <vertAlign val="subscript"/>
        <sz val="12"/>
        <rFont val="Arial"/>
        <family val="2"/>
      </rPr>
      <t>H</t>
    </r>
    <r>
      <rPr>
        <sz val="12"/>
        <rFont val="Arial"/>
        <family val="2"/>
      </rPr>
      <t>)/(</t>
    </r>
    <r>
      <rPr>
        <i/>
        <sz val="12"/>
        <rFont val="Arial"/>
        <family val="2"/>
      </rPr>
      <t>K</t>
    </r>
    <r>
      <rPr>
        <vertAlign val="subscript"/>
        <sz val="12"/>
        <rFont val="Arial"/>
        <family val="2"/>
      </rPr>
      <t>STO,H</t>
    </r>
    <r>
      <rPr>
        <sz val="12"/>
        <rFont val="Arial"/>
        <family val="2"/>
      </rPr>
      <t>+</t>
    </r>
    <r>
      <rPr>
        <i/>
        <sz val="12"/>
        <rFont val="Arial"/>
        <family val="2"/>
      </rPr>
      <t>X</t>
    </r>
    <r>
      <rPr>
        <vertAlign val="subscript"/>
        <sz val="12"/>
        <rFont val="Arial"/>
        <family val="2"/>
      </rPr>
      <t>STO</t>
    </r>
    <r>
      <rPr>
        <sz val="12"/>
        <rFont val="Arial"/>
        <family val="2"/>
      </rPr>
      <t>/</t>
    </r>
    <r>
      <rPr>
        <i/>
        <sz val="12"/>
        <rFont val="Arial"/>
        <family val="2"/>
      </rPr>
      <t>X</t>
    </r>
    <r>
      <rPr>
        <vertAlign val="subscript"/>
        <sz val="12"/>
        <rFont val="Arial"/>
        <family val="2"/>
      </rPr>
      <t>H</t>
    </r>
    <r>
      <rPr>
        <sz val="12"/>
        <rFont val="Arial"/>
        <family val="2"/>
      </rPr>
      <t>)]*</t>
    </r>
    <r>
      <rPr>
        <i/>
        <sz val="12"/>
        <rFont val="Arial"/>
        <family val="2"/>
      </rPr>
      <t>X</t>
    </r>
    <r>
      <rPr>
        <vertAlign val="subscript"/>
        <sz val="12"/>
        <rFont val="Arial"/>
        <family val="2"/>
      </rPr>
      <t>H</t>
    </r>
  </si>
  <si>
    <r>
      <t>i</t>
    </r>
    <r>
      <rPr>
        <vertAlign val="subscript"/>
        <sz val="12"/>
        <rFont val="Arial"/>
        <family val="2"/>
      </rPr>
      <t>P,BM</t>
    </r>
    <r>
      <rPr>
        <sz val="12"/>
        <rFont val="Arial"/>
        <family val="2"/>
      </rPr>
      <t>-</t>
    </r>
    <r>
      <rPr>
        <i/>
        <sz val="12"/>
        <rFont val="Arial"/>
        <family val="2"/>
      </rPr>
      <t>f</t>
    </r>
    <r>
      <rPr>
        <vertAlign val="subscript"/>
        <sz val="12"/>
        <rFont val="Arial"/>
        <family val="2"/>
      </rPr>
      <t>XI</t>
    </r>
    <r>
      <rPr>
        <sz val="12"/>
        <rFont val="Arial"/>
        <family val="2"/>
      </rPr>
      <t>*</t>
    </r>
    <r>
      <rPr>
        <i/>
        <sz val="12"/>
        <rFont val="Arial"/>
        <family val="2"/>
      </rPr>
      <t>i</t>
    </r>
    <r>
      <rPr>
        <vertAlign val="subscript"/>
        <sz val="12"/>
        <rFont val="Arial"/>
        <family val="2"/>
      </rPr>
      <t>P,XI</t>
    </r>
  </si>
  <si>
    <r>
      <t>v</t>
    </r>
    <r>
      <rPr>
        <vertAlign val="subscript"/>
        <sz val="12"/>
        <rFont val="Arial"/>
        <family val="2"/>
      </rPr>
      <t>6_NH4</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6_PO4</t>
    </r>
    <r>
      <rPr>
        <sz val="12"/>
        <rFont val="Arial"/>
        <family val="2"/>
      </rPr>
      <t>*</t>
    </r>
    <r>
      <rPr>
        <i/>
        <sz val="12"/>
        <rFont val="Arial"/>
        <family val="2"/>
      </rPr>
      <t>i</t>
    </r>
    <r>
      <rPr>
        <vertAlign val="subscript"/>
        <sz val="12"/>
        <rFont val="Arial"/>
        <family val="2"/>
      </rPr>
      <t>Charge_PO4</t>
    </r>
  </si>
  <si>
    <r>
      <t>-</t>
    </r>
    <r>
      <rPr>
        <i/>
        <sz val="12"/>
        <rFont val="Arial"/>
        <family val="2"/>
      </rPr>
      <t>i</t>
    </r>
    <r>
      <rPr>
        <vertAlign val="subscript"/>
        <sz val="12"/>
        <rFont val="Arial"/>
        <family val="2"/>
      </rPr>
      <t>TSS,BM</t>
    </r>
    <r>
      <rPr>
        <sz val="12"/>
        <rFont val="Arial"/>
        <family val="2"/>
      </rPr>
      <t>+</t>
    </r>
    <r>
      <rPr>
        <i/>
        <sz val="12"/>
        <rFont val="Arial"/>
        <family val="2"/>
      </rPr>
      <t>f</t>
    </r>
    <r>
      <rPr>
        <vertAlign val="subscript"/>
        <sz val="12"/>
        <rFont val="Arial"/>
        <family val="2"/>
      </rPr>
      <t>XI</t>
    </r>
    <r>
      <rPr>
        <sz val="12"/>
        <rFont val="Arial"/>
        <family val="2"/>
      </rPr>
      <t>*</t>
    </r>
    <r>
      <rPr>
        <i/>
        <sz val="12"/>
        <rFont val="Arial"/>
        <family val="2"/>
      </rPr>
      <t>i</t>
    </r>
    <r>
      <rPr>
        <vertAlign val="subscript"/>
        <sz val="12"/>
        <rFont val="Arial"/>
        <family val="2"/>
      </rPr>
      <t>TSS,XI</t>
    </r>
  </si>
  <si>
    <r>
      <t>b</t>
    </r>
    <r>
      <rPr>
        <vertAlign val="subscript"/>
        <sz val="12"/>
        <rFont val="Arial"/>
        <family val="2"/>
      </rPr>
      <t>H</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K</t>
    </r>
    <r>
      <rPr>
        <vertAlign val="subscript"/>
        <sz val="12"/>
        <rFont val="Arial"/>
        <family val="2"/>
      </rPr>
      <t>O,H</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X</t>
    </r>
    <r>
      <rPr>
        <vertAlign val="subscript"/>
        <sz val="12"/>
        <rFont val="Arial"/>
        <family val="2"/>
      </rPr>
      <t>H</t>
    </r>
  </si>
  <si>
    <r>
      <t>-(1-</t>
    </r>
    <r>
      <rPr>
        <i/>
        <sz val="12"/>
        <rFont val="Arial"/>
        <family val="2"/>
      </rPr>
      <t>f</t>
    </r>
    <r>
      <rPr>
        <vertAlign val="subscript"/>
        <sz val="12"/>
        <rFont val="Arial"/>
        <family val="2"/>
      </rPr>
      <t>XI</t>
    </r>
    <r>
      <rPr>
        <sz val="12"/>
        <rFont val="Arial"/>
        <family val="2"/>
      </rPr>
      <t>)/(</t>
    </r>
    <r>
      <rPr>
        <i/>
        <sz val="12"/>
        <rFont val="Arial"/>
        <family val="2"/>
      </rPr>
      <t>i</t>
    </r>
    <r>
      <rPr>
        <vertAlign val="subscript"/>
        <sz val="12"/>
        <rFont val="Arial"/>
        <family val="2"/>
      </rPr>
      <t>NOx,N2</t>
    </r>
    <r>
      <rPr>
        <sz val="12"/>
        <rFont val="Arial"/>
        <family val="2"/>
      </rPr>
      <t>)</t>
    </r>
  </si>
  <si>
    <r>
      <t>(1-</t>
    </r>
    <r>
      <rPr>
        <i/>
        <sz val="12"/>
        <rFont val="Arial"/>
        <family val="2"/>
      </rPr>
      <t>f</t>
    </r>
    <r>
      <rPr>
        <vertAlign val="subscript"/>
        <sz val="12"/>
        <rFont val="Arial"/>
        <family val="2"/>
      </rPr>
      <t>XI</t>
    </r>
    <r>
      <rPr>
        <sz val="12"/>
        <rFont val="Arial"/>
        <family val="2"/>
      </rPr>
      <t>)/(</t>
    </r>
    <r>
      <rPr>
        <i/>
        <sz val="12"/>
        <rFont val="Arial"/>
        <family val="2"/>
      </rPr>
      <t>i</t>
    </r>
    <r>
      <rPr>
        <vertAlign val="subscript"/>
        <sz val="12"/>
        <rFont val="Arial"/>
        <family val="2"/>
      </rPr>
      <t>NOx,N2</t>
    </r>
    <r>
      <rPr>
        <sz val="12"/>
        <rFont val="Arial"/>
        <family val="2"/>
      </rPr>
      <t>)</t>
    </r>
  </si>
  <si>
    <r>
      <t>v</t>
    </r>
    <r>
      <rPr>
        <vertAlign val="subscript"/>
        <sz val="12"/>
        <rFont val="Arial"/>
        <family val="2"/>
      </rPr>
      <t>7_NO</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v</t>
    </r>
    <r>
      <rPr>
        <vertAlign val="subscript"/>
        <sz val="12"/>
        <rFont val="Arial"/>
        <family val="2"/>
      </rPr>
      <t>7_NH4</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7_PO4</t>
    </r>
    <r>
      <rPr>
        <sz val="12"/>
        <rFont val="Arial"/>
        <family val="2"/>
      </rPr>
      <t>*</t>
    </r>
    <r>
      <rPr>
        <i/>
        <sz val="12"/>
        <rFont val="Arial"/>
        <family val="2"/>
      </rPr>
      <t>i</t>
    </r>
    <r>
      <rPr>
        <vertAlign val="subscript"/>
        <sz val="12"/>
        <rFont val="Arial"/>
        <family val="2"/>
      </rPr>
      <t>Charge_PO4</t>
    </r>
  </si>
  <si>
    <r>
      <t>b</t>
    </r>
    <r>
      <rPr>
        <vertAlign val="subscript"/>
        <sz val="12"/>
        <rFont val="Arial"/>
        <family val="2"/>
      </rPr>
      <t>H</t>
    </r>
    <r>
      <rPr>
        <sz val="12"/>
        <rFont val="Arial"/>
        <family val="2"/>
      </rPr>
      <t>*</t>
    </r>
    <r>
      <rPr>
        <i/>
        <sz val="12"/>
        <rFont val="Arial"/>
        <family val="2"/>
      </rPr>
      <t>η</t>
    </r>
    <r>
      <rPr>
        <vertAlign val="subscript"/>
        <sz val="12"/>
        <rFont val="Arial"/>
        <family val="2"/>
      </rPr>
      <t>NO,end,H</t>
    </r>
    <r>
      <rPr>
        <sz val="12"/>
        <rFont val="Arial"/>
        <family val="2"/>
      </rPr>
      <t>*[</t>
    </r>
    <r>
      <rPr>
        <i/>
        <sz val="12"/>
        <rFont val="Arial"/>
        <family val="2"/>
      </rPr>
      <t>K</t>
    </r>
    <r>
      <rPr>
        <vertAlign val="subscript"/>
        <sz val="12"/>
        <rFont val="Arial"/>
        <family val="2"/>
      </rPr>
      <t>O,H</t>
    </r>
    <r>
      <rPr>
        <sz val="12"/>
        <rFont val="Arial"/>
        <family val="2"/>
      </rPr>
      <t>/(</t>
    </r>
    <r>
      <rPr>
        <i/>
        <sz val="12"/>
        <rFont val="Arial"/>
        <family val="2"/>
      </rPr>
      <t>K</t>
    </r>
    <r>
      <rPr>
        <vertAlign val="subscript"/>
        <sz val="12"/>
        <rFont val="Arial"/>
        <family val="2"/>
      </rPr>
      <t>O,H</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S</t>
    </r>
    <r>
      <rPr>
        <vertAlign val="subscript"/>
        <sz val="12"/>
        <rFont val="Arial"/>
        <family val="2"/>
      </rPr>
      <t>NO</t>
    </r>
    <r>
      <rPr>
        <sz val="12"/>
        <rFont val="Arial"/>
        <family val="2"/>
      </rPr>
      <t>/(</t>
    </r>
    <r>
      <rPr>
        <i/>
        <sz val="12"/>
        <rFont val="Arial"/>
        <family val="2"/>
      </rPr>
      <t>K</t>
    </r>
    <r>
      <rPr>
        <vertAlign val="subscript"/>
        <sz val="12"/>
        <rFont val="Arial"/>
        <family val="2"/>
      </rPr>
      <t>NO,H</t>
    </r>
    <r>
      <rPr>
        <sz val="12"/>
        <rFont val="Arial"/>
        <family val="2"/>
      </rPr>
      <t>+</t>
    </r>
    <r>
      <rPr>
        <i/>
        <sz val="12"/>
        <rFont val="Arial"/>
        <family val="2"/>
      </rPr>
      <t>S</t>
    </r>
    <r>
      <rPr>
        <vertAlign val="subscript"/>
        <sz val="12"/>
        <rFont val="Arial"/>
        <family val="2"/>
      </rPr>
      <t>NO</t>
    </r>
    <r>
      <rPr>
        <sz val="12"/>
        <rFont val="Arial"/>
        <family val="2"/>
      </rPr>
      <t>)]*</t>
    </r>
    <r>
      <rPr>
        <i/>
        <sz val="12"/>
        <rFont val="Arial"/>
        <family val="2"/>
      </rPr>
      <t>X</t>
    </r>
    <r>
      <rPr>
        <vertAlign val="subscript"/>
        <sz val="12"/>
        <rFont val="Arial"/>
        <family val="2"/>
      </rPr>
      <t>H</t>
    </r>
  </si>
  <si>
    <r>
      <t>-</t>
    </r>
    <r>
      <rPr>
        <i/>
        <sz val="12"/>
        <rFont val="Arial"/>
        <family val="2"/>
      </rPr>
      <t>i</t>
    </r>
    <r>
      <rPr>
        <vertAlign val="subscript"/>
        <sz val="12"/>
        <rFont val="Arial"/>
        <family val="2"/>
      </rPr>
      <t>TSS,XSTO</t>
    </r>
  </si>
  <si>
    <r>
      <t>b</t>
    </r>
    <r>
      <rPr>
        <vertAlign val="subscript"/>
        <sz val="12"/>
        <color indexed="57"/>
        <rFont val="Arial"/>
        <family val="2"/>
      </rPr>
      <t>Sto</t>
    </r>
    <r>
      <rPr>
        <sz val="11"/>
        <rFont val="Arial"/>
        <family val="2"/>
      </rPr>
      <t>*</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K</t>
    </r>
    <r>
      <rPr>
        <vertAlign val="subscript"/>
        <sz val="12"/>
        <rFont val="Arial"/>
        <family val="2"/>
      </rPr>
      <t>O,H</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X</t>
    </r>
    <r>
      <rPr>
        <vertAlign val="subscript"/>
        <sz val="12"/>
        <rFont val="Arial"/>
        <family val="2"/>
      </rPr>
      <t>STO</t>
    </r>
  </si>
  <si>
    <r>
      <t>-</t>
    </r>
    <r>
      <rPr>
        <i/>
        <sz val="12"/>
        <rFont val="Arial"/>
        <family val="2"/>
      </rPr>
      <t>v</t>
    </r>
    <r>
      <rPr>
        <vertAlign val="subscript"/>
        <sz val="12"/>
        <rFont val="Arial"/>
        <family val="2"/>
      </rPr>
      <t>9_NO</t>
    </r>
    <r>
      <rPr>
        <sz val="12"/>
        <rFont val="Arial"/>
        <family val="2"/>
      </rPr>
      <t>*</t>
    </r>
    <r>
      <rPr>
        <i/>
        <sz val="12"/>
        <rFont val="Arial"/>
        <family val="2"/>
      </rPr>
      <t>i</t>
    </r>
    <r>
      <rPr>
        <vertAlign val="subscript"/>
        <sz val="12"/>
        <rFont val="Arial"/>
        <family val="2"/>
      </rPr>
      <t>Charge_NHx</t>
    </r>
  </si>
  <si>
    <r>
      <t>b</t>
    </r>
    <r>
      <rPr>
        <vertAlign val="subscript"/>
        <sz val="12"/>
        <color indexed="57"/>
        <rFont val="Arial"/>
        <family val="2"/>
      </rPr>
      <t>Sto</t>
    </r>
    <r>
      <rPr>
        <sz val="12"/>
        <rFont val="Arial"/>
        <family val="2"/>
      </rPr>
      <t>*</t>
    </r>
    <r>
      <rPr>
        <i/>
        <sz val="12"/>
        <rFont val="Arial"/>
        <family val="2"/>
      </rPr>
      <t>η</t>
    </r>
    <r>
      <rPr>
        <vertAlign val="subscript"/>
        <sz val="12"/>
        <rFont val="Arial"/>
        <family val="2"/>
      </rPr>
      <t>NO,end,H</t>
    </r>
    <r>
      <rPr>
        <sz val="12"/>
        <rFont val="Arial"/>
        <family val="2"/>
      </rPr>
      <t>*[</t>
    </r>
    <r>
      <rPr>
        <i/>
        <sz val="12"/>
        <rFont val="Arial"/>
        <family val="2"/>
      </rPr>
      <t>K</t>
    </r>
    <r>
      <rPr>
        <vertAlign val="subscript"/>
        <sz val="12"/>
        <rFont val="Arial"/>
        <family val="2"/>
      </rPr>
      <t>O,H</t>
    </r>
    <r>
      <rPr>
        <sz val="12"/>
        <rFont val="Arial"/>
        <family val="2"/>
      </rPr>
      <t>/(</t>
    </r>
    <r>
      <rPr>
        <i/>
        <sz val="12"/>
        <rFont val="Arial"/>
        <family val="2"/>
      </rPr>
      <t>K</t>
    </r>
    <r>
      <rPr>
        <vertAlign val="subscript"/>
        <sz val="12"/>
        <rFont val="Arial"/>
        <family val="2"/>
      </rPr>
      <t>O,H</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S</t>
    </r>
    <r>
      <rPr>
        <vertAlign val="subscript"/>
        <sz val="12"/>
        <rFont val="Arial"/>
        <family val="2"/>
      </rPr>
      <t>NO</t>
    </r>
    <r>
      <rPr>
        <sz val="12"/>
        <rFont val="Arial"/>
        <family val="2"/>
      </rPr>
      <t>/(</t>
    </r>
    <r>
      <rPr>
        <i/>
        <sz val="12"/>
        <rFont val="Arial"/>
        <family val="2"/>
      </rPr>
      <t>K</t>
    </r>
    <r>
      <rPr>
        <vertAlign val="subscript"/>
        <sz val="12"/>
        <rFont val="Arial"/>
        <family val="2"/>
      </rPr>
      <t>NO,H</t>
    </r>
    <r>
      <rPr>
        <sz val="12"/>
        <rFont val="Arial"/>
        <family val="2"/>
      </rPr>
      <t>+</t>
    </r>
    <r>
      <rPr>
        <i/>
        <sz val="12"/>
        <rFont val="Arial"/>
        <family val="2"/>
      </rPr>
      <t>S</t>
    </r>
    <r>
      <rPr>
        <vertAlign val="subscript"/>
        <sz val="12"/>
        <rFont val="Arial"/>
        <family val="2"/>
      </rPr>
      <t>NO</t>
    </r>
    <r>
      <rPr>
        <sz val="12"/>
        <rFont val="Arial"/>
        <family val="2"/>
      </rPr>
      <t>)]*</t>
    </r>
    <r>
      <rPr>
        <i/>
        <sz val="12"/>
        <rFont val="Arial"/>
        <family val="2"/>
      </rPr>
      <t>X</t>
    </r>
    <r>
      <rPr>
        <vertAlign val="subscript"/>
        <sz val="12"/>
        <rFont val="Arial"/>
        <family val="2"/>
      </rPr>
      <t>STO</t>
    </r>
  </si>
  <si>
    <r>
      <t>Growth of X</t>
    </r>
    <r>
      <rPr>
        <b/>
        <vertAlign val="subscript"/>
        <sz val="11"/>
        <rFont val="Arial"/>
        <family val="2"/>
      </rPr>
      <t>AUT</t>
    </r>
    <r>
      <rPr>
        <b/>
        <sz val="11"/>
        <rFont val="Arial"/>
        <family val="2"/>
      </rPr>
      <t xml:space="preserve"> (Nitrification)</t>
    </r>
  </si>
  <si>
    <r>
      <t>-(-</t>
    </r>
    <r>
      <rPr>
        <i/>
        <sz val="12"/>
        <rFont val="Arial"/>
        <family val="2"/>
      </rPr>
      <t>i</t>
    </r>
    <r>
      <rPr>
        <vertAlign val="subscript"/>
        <sz val="12"/>
        <rFont val="Arial"/>
        <family val="2"/>
      </rPr>
      <t>COD_NOx</t>
    </r>
    <r>
      <rPr>
        <sz val="12"/>
        <rFont val="Arial"/>
        <family val="2"/>
      </rPr>
      <t>-</t>
    </r>
    <r>
      <rPr>
        <i/>
        <sz val="12"/>
        <rFont val="Arial"/>
        <family val="2"/>
      </rPr>
      <t>Y</t>
    </r>
    <r>
      <rPr>
        <vertAlign val="subscript"/>
        <sz val="12"/>
        <rFont val="Arial"/>
        <family val="2"/>
      </rPr>
      <t>AUT</t>
    </r>
    <r>
      <rPr>
        <sz val="12"/>
        <rFont val="Arial"/>
        <family val="2"/>
      </rPr>
      <t>)/</t>
    </r>
    <r>
      <rPr>
        <i/>
        <sz val="12"/>
        <rFont val="Arial"/>
        <family val="2"/>
      </rPr>
      <t>Y</t>
    </r>
    <r>
      <rPr>
        <vertAlign val="subscript"/>
        <sz val="12"/>
        <rFont val="Arial"/>
        <family val="2"/>
      </rPr>
      <t>AUT</t>
    </r>
  </si>
  <si>
    <r>
      <t>-1/</t>
    </r>
    <r>
      <rPr>
        <i/>
        <sz val="12"/>
        <rFont val="Arial"/>
        <family val="2"/>
      </rPr>
      <t>Y</t>
    </r>
    <r>
      <rPr>
        <vertAlign val="subscript"/>
        <sz val="12"/>
        <rFont val="Arial"/>
        <family val="2"/>
      </rPr>
      <t>AUT</t>
    </r>
    <r>
      <rPr>
        <sz val="12"/>
        <rFont val="Arial"/>
        <family val="2"/>
      </rPr>
      <t>-</t>
    </r>
    <r>
      <rPr>
        <i/>
        <sz val="12"/>
        <rFont val="Arial"/>
        <family val="2"/>
      </rPr>
      <t>i</t>
    </r>
    <r>
      <rPr>
        <vertAlign val="subscript"/>
        <sz val="12"/>
        <rFont val="Arial"/>
        <family val="2"/>
      </rPr>
      <t>N,BM</t>
    </r>
  </si>
  <si>
    <r>
      <t>1/</t>
    </r>
    <r>
      <rPr>
        <i/>
        <sz val="12"/>
        <rFont val="Arial"/>
        <family val="2"/>
      </rPr>
      <t>Y</t>
    </r>
    <r>
      <rPr>
        <vertAlign val="subscript"/>
        <sz val="12"/>
        <rFont val="Arial"/>
        <family val="2"/>
      </rPr>
      <t>AUT</t>
    </r>
  </si>
  <si>
    <r>
      <t>v</t>
    </r>
    <r>
      <rPr>
        <vertAlign val="subscript"/>
        <sz val="12"/>
        <rFont val="Arial"/>
        <family val="2"/>
      </rPr>
      <t>10_NH4</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10_NO</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v</t>
    </r>
    <r>
      <rPr>
        <vertAlign val="subscript"/>
        <sz val="12"/>
        <rFont val="Arial"/>
        <family val="2"/>
      </rPr>
      <t>10_PO4</t>
    </r>
    <r>
      <rPr>
        <sz val="12"/>
        <rFont val="Arial"/>
        <family val="2"/>
      </rPr>
      <t>*</t>
    </r>
    <r>
      <rPr>
        <i/>
        <sz val="12"/>
        <rFont val="Arial"/>
        <family val="2"/>
      </rPr>
      <t>i</t>
    </r>
    <r>
      <rPr>
        <vertAlign val="subscript"/>
        <sz val="12"/>
        <rFont val="Arial"/>
        <family val="2"/>
      </rPr>
      <t>Charge_PO4</t>
    </r>
  </si>
  <si>
    <r>
      <t>μ</t>
    </r>
    <r>
      <rPr>
        <vertAlign val="subscript"/>
        <sz val="12"/>
        <rFont val="Arial"/>
        <family val="2"/>
      </rPr>
      <t>A</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K</t>
    </r>
    <r>
      <rPr>
        <vertAlign val="subscript"/>
        <sz val="12"/>
        <rFont val="Arial"/>
        <family val="2"/>
      </rPr>
      <t>O,A</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S</t>
    </r>
    <r>
      <rPr>
        <vertAlign val="subscript"/>
        <sz val="12"/>
        <rFont val="Arial"/>
        <family val="2"/>
      </rPr>
      <t>NH</t>
    </r>
    <r>
      <rPr>
        <sz val="12"/>
        <rFont val="Arial"/>
        <family val="2"/>
      </rPr>
      <t>/(</t>
    </r>
    <r>
      <rPr>
        <i/>
        <sz val="12"/>
        <rFont val="Arial"/>
        <family val="2"/>
      </rPr>
      <t>K</t>
    </r>
    <r>
      <rPr>
        <vertAlign val="subscript"/>
        <sz val="12"/>
        <rFont val="Arial"/>
        <family val="2"/>
      </rPr>
      <t>NH,A</t>
    </r>
    <r>
      <rPr>
        <sz val="12"/>
        <rFont val="Arial"/>
        <family val="2"/>
      </rPr>
      <t>+</t>
    </r>
    <r>
      <rPr>
        <i/>
        <sz val="12"/>
        <rFont val="Arial"/>
        <family val="2"/>
      </rPr>
      <t>S</t>
    </r>
    <r>
      <rPr>
        <vertAlign val="subscript"/>
        <sz val="12"/>
        <rFont val="Arial"/>
        <family val="2"/>
      </rPr>
      <t>NH</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K</t>
    </r>
    <r>
      <rPr>
        <vertAlign val="subscript"/>
        <sz val="12"/>
        <rFont val="Arial"/>
        <family val="2"/>
      </rPr>
      <t>HCO,A</t>
    </r>
    <r>
      <rPr>
        <sz val="12"/>
        <rFont val="Arial"/>
        <family val="2"/>
      </rPr>
      <t>+</t>
    </r>
    <r>
      <rPr>
        <i/>
        <sz val="12"/>
        <rFont val="Arial"/>
        <family val="2"/>
      </rPr>
      <t>S</t>
    </r>
    <r>
      <rPr>
        <vertAlign val="subscript"/>
        <sz val="12"/>
        <rFont val="Arial"/>
        <family val="2"/>
      </rPr>
      <t>HCO</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K</t>
    </r>
    <r>
      <rPr>
        <vertAlign val="subscript"/>
        <sz val="12"/>
        <rFont val="Arial"/>
        <family val="2"/>
      </rPr>
      <t>PO4,A</t>
    </r>
    <r>
      <rPr>
        <sz val="12"/>
        <rFont val="Arial"/>
        <family val="2"/>
      </rPr>
      <t>+</t>
    </r>
    <r>
      <rPr>
        <i/>
        <sz val="12"/>
        <rFont val="Arial"/>
        <family val="2"/>
      </rPr>
      <t>S</t>
    </r>
    <r>
      <rPr>
        <vertAlign val="subscript"/>
        <sz val="12"/>
        <rFont val="Arial"/>
        <family val="2"/>
      </rPr>
      <t>PO4</t>
    </r>
    <r>
      <rPr>
        <sz val="12"/>
        <rFont val="Arial"/>
        <family val="2"/>
      </rPr>
      <t>)]*</t>
    </r>
    <r>
      <rPr>
        <i/>
        <sz val="12"/>
        <rFont val="Arial"/>
        <family val="2"/>
      </rPr>
      <t>X</t>
    </r>
    <r>
      <rPr>
        <vertAlign val="subscript"/>
        <sz val="12"/>
        <rFont val="Arial"/>
        <family val="2"/>
      </rPr>
      <t>A</t>
    </r>
  </si>
  <si>
    <r>
      <t>Aerobic endogenous respiration of X</t>
    </r>
    <r>
      <rPr>
        <b/>
        <vertAlign val="subscript"/>
        <sz val="11"/>
        <rFont val="Arial"/>
        <family val="2"/>
      </rPr>
      <t>AUT</t>
    </r>
  </si>
  <si>
    <r>
      <t>v</t>
    </r>
    <r>
      <rPr>
        <vertAlign val="subscript"/>
        <sz val="12"/>
        <rFont val="Arial"/>
        <family val="2"/>
      </rPr>
      <t>11_NH4</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11_PO4</t>
    </r>
    <r>
      <rPr>
        <sz val="12"/>
        <rFont val="Arial"/>
        <family val="2"/>
      </rPr>
      <t>*</t>
    </r>
    <r>
      <rPr>
        <i/>
        <sz val="12"/>
        <rFont val="Arial"/>
        <family val="2"/>
      </rPr>
      <t>i</t>
    </r>
    <r>
      <rPr>
        <vertAlign val="subscript"/>
        <sz val="12"/>
        <rFont val="Arial"/>
        <family val="2"/>
      </rPr>
      <t>Charge_PO4</t>
    </r>
  </si>
  <si>
    <r>
      <t>b</t>
    </r>
    <r>
      <rPr>
        <vertAlign val="subscript"/>
        <sz val="12"/>
        <rFont val="Arial"/>
        <family val="2"/>
      </rPr>
      <t>A</t>
    </r>
    <r>
      <rPr>
        <sz val="12"/>
        <rFont val="Arial"/>
        <family val="2"/>
      </rPr>
      <t>*[</t>
    </r>
    <r>
      <rPr>
        <i/>
        <sz val="12"/>
        <rFont val="Arial"/>
        <family val="2"/>
      </rPr>
      <t>S</t>
    </r>
    <r>
      <rPr>
        <vertAlign val="subscript"/>
        <sz val="12"/>
        <rFont val="Arial"/>
        <family val="2"/>
      </rPr>
      <t>O</t>
    </r>
    <r>
      <rPr>
        <sz val="12"/>
        <rFont val="Arial"/>
        <family val="2"/>
      </rPr>
      <t>/(</t>
    </r>
    <r>
      <rPr>
        <i/>
        <sz val="12"/>
        <color indexed="57"/>
        <rFont val="Arial"/>
        <family val="2"/>
      </rPr>
      <t>K</t>
    </r>
    <r>
      <rPr>
        <vertAlign val="subscript"/>
        <sz val="12"/>
        <color indexed="57"/>
        <rFont val="Arial"/>
        <family val="2"/>
      </rPr>
      <t>O,A</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X</t>
    </r>
    <r>
      <rPr>
        <vertAlign val="subscript"/>
        <sz val="12"/>
        <rFont val="Arial"/>
        <family val="2"/>
      </rPr>
      <t>A</t>
    </r>
  </si>
  <si>
    <r>
      <t>Anoxic endogenous respiration of X</t>
    </r>
    <r>
      <rPr>
        <b/>
        <vertAlign val="subscript"/>
        <sz val="11"/>
        <rFont val="Arial"/>
        <family val="2"/>
      </rPr>
      <t>AUT</t>
    </r>
  </si>
  <si>
    <r>
      <t>v</t>
    </r>
    <r>
      <rPr>
        <vertAlign val="subscript"/>
        <sz val="12"/>
        <rFont val="Arial"/>
        <family val="2"/>
      </rPr>
      <t>12_NH4</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12_NO</t>
    </r>
    <r>
      <rPr>
        <sz val="12"/>
        <rFont val="Arial"/>
        <family val="2"/>
      </rPr>
      <t>*</t>
    </r>
    <r>
      <rPr>
        <i/>
        <sz val="12"/>
        <rFont val="Arial"/>
        <family val="2"/>
      </rPr>
      <t>i</t>
    </r>
    <r>
      <rPr>
        <vertAlign val="subscript"/>
        <sz val="12"/>
        <rFont val="Arial"/>
        <family val="2"/>
      </rPr>
      <t>Charge_NOx</t>
    </r>
    <r>
      <rPr>
        <sz val="12"/>
        <rFont val="Arial"/>
        <family val="2"/>
      </rPr>
      <t>+</t>
    </r>
    <r>
      <rPr>
        <i/>
        <sz val="12"/>
        <rFont val="Arial"/>
        <family val="2"/>
      </rPr>
      <t>v</t>
    </r>
    <r>
      <rPr>
        <vertAlign val="subscript"/>
        <sz val="12"/>
        <rFont val="Arial"/>
        <family val="2"/>
      </rPr>
      <t>12_PO4</t>
    </r>
    <r>
      <rPr>
        <sz val="12"/>
        <rFont val="Arial"/>
        <family val="2"/>
      </rPr>
      <t>*</t>
    </r>
    <r>
      <rPr>
        <i/>
        <sz val="12"/>
        <rFont val="Arial"/>
        <family val="2"/>
      </rPr>
      <t>i</t>
    </r>
    <r>
      <rPr>
        <vertAlign val="subscript"/>
        <sz val="12"/>
        <rFont val="Arial"/>
        <family val="2"/>
      </rPr>
      <t>Charge_PO4</t>
    </r>
  </si>
  <si>
    <r>
      <t>b</t>
    </r>
    <r>
      <rPr>
        <vertAlign val="subscript"/>
        <sz val="12"/>
        <rFont val="Arial"/>
        <family val="2"/>
      </rPr>
      <t>A</t>
    </r>
    <r>
      <rPr>
        <sz val="12"/>
        <rFont val="Arial"/>
        <family val="2"/>
      </rPr>
      <t>*</t>
    </r>
    <r>
      <rPr>
        <i/>
        <sz val="12"/>
        <rFont val="Arial"/>
        <family val="2"/>
      </rPr>
      <t>η</t>
    </r>
    <r>
      <rPr>
        <vertAlign val="subscript"/>
        <sz val="12"/>
        <rFont val="Arial"/>
        <family val="2"/>
      </rPr>
      <t>NO,A</t>
    </r>
    <r>
      <rPr>
        <sz val="12"/>
        <rFont val="Arial"/>
        <family val="2"/>
      </rPr>
      <t>*[</t>
    </r>
    <r>
      <rPr>
        <i/>
        <sz val="12"/>
        <rFont val="Arial"/>
        <family val="2"/>
      </rPr>
      <t>K</t>
    </r>
    <r>
      <rPr>
        <vertAlign val="subscript"/>
        <sz val="12"/>
        <rFont val="Arial"/>
        <family val="2"/>
      </rPr>
      <t>O,A</t>
    </r>
    <r>
      <rPr>
        <sz val="12"/>
        <rFont val="Arial"/>
        <family val="2"/>
      </rPr>
      <t>/(</t>
    </r>
    <r>
      <rPr>
        <i/>
        <sz val="12"/>
        <color indexed="57"/>
        <rFont val="Arial"/>
        <family val="2"/>
      </rPr>
      <t>K</t>
    </r>
    <r>
      <rPr>
        <vertAlign val="subscript"/>
        <sz val="12"/>
        <color indexed="57"/>
        <rFont val="Arial"/>
        <family val="2"/>
      </rPr>
      <t>O,A</t>
    </r>
    <r>
      <rPr>
        <sz val="12"/>
        <rFont val="Arial"/>
        <family val="2"/>
      </rPr>
      <t>+</t>
    </r>
    <r>
      <rPr>
        <i/>
        <sz val="12"/>
        <rFont val="Arial"/>
        <family val="2"/>
      </rPr>
      <t>S</t>
    </r>
    <r>
      <rPr>
        <vertAlign val="subscript"/>
        <sz val="12"/>
        <rFont val="Arial"/>
        <family val="2"/>
      </rPr>
      <t>O</t>
    </r>
    <r>
      <rPr>
        <sz val="12"/>
        <rFont val="Arial"/>
        <family val="2"/>
      </rPr>
      <t>)]*[</t>
    </r>
    <r>
      <rPr>
        <i/>
        <sz val="12"/>
        <rFont val="Arial"/>
        <family val="2"/>
      </rPr>
      <t>S</t>
    </r>
    <r>
      <rPr>
        <vertAlign val="subscript"/>
        <sz val="12"/>
        <rFont val="Arial"/>
        <family val="2"/>
      </rPr>
      <t>NO</t>
    </r>
    <r>
      <rPr>
        <sz val="12"/>
        <rFont val="Arial"/>
        <family val="2"/>
      </rPr>
      <t>/(</t>
    </r>
    <r>
      <rPr>
        <i/>
        <sz val="12"/>
        <color indexed="12"/>
        <rFont val="Arial"/>
        <family val="2"/>
      </rPr>
      <t>K</t>
    </r>
    <r>
      <rPr>
        <vertAlign val="subscript"/>
        <sz val="12"/>
        <color indexed="12"/>
        <rFont val="Arial"/>
        <family val="2"/>
      </rPr>
      <t>NO,H</t>
    </r>
    <r>
      <rPr>
        <sz val="12"/>
        <rFont val="Arial"/>
        <family val="2"/>
      </rPr>
      <t>+</t>
    </r>
    <r>
      <rPr>
        <i/>
        <sz val="12"/>
        <rFont val="Arial"/>
        <family val="2"/>
      </rPr>
      <t>S</t>
    </r>
    <r>
      <rPr>
        <vertAlign val="subscript"/>
        <sz val="12"/>
        <rFont val="Arial"/>
        <family val="2"/>
      </rPr>
      <t>NO</t>
    </r>
    <r>
      <rPr>
        <sz val="12"/>
        <rFont val="Arial"/>
        <family val="2"/>
      </rPr>
      <t>)]*</t>
    </r>
    <r>
      <rPr>
        <i/>
        <sz val="12"/>
        <rFont val="Arial"/>
        <family val="2"/>
      </rPr>
      <t>X</t>
    </r>
    <r>
      <rPr>
        <vertAlign val="subscript"/>
        <sz val="12"/>
        <rFont val="Arial"/>
        <family val="2"/>
      </rPr>
      <t>A</t>
    </r>
  </si>
  <si>
    <r>
      <t>Storage of X</t>
    </r>
    <r>
      <rPr>
        <b/>
        <vertAlign val="subscript"/>
        <sz val="11"/>
        <rFont val="Arial"/>
        <family val="2"/>
      </rPr>
      <t>PHA</t>
    </r>
  </si>
  <si>
    <r>
      <t>Y</t>
    </r>
    <r>
      <rPr>
        <vertAlign val="subscript"/>
        <sz val="12"/>
        <rFont val="Arial"/>
        <family val="2"/>
      </rPr>
      <t>PO4</t>
    </r>
    <r>
      <rPr>
        <sz val="12"/>
        <rFont val="Arial"/>
        <family val="2"/>
      </rPr>
      <t>+</t>
    </r>
    <r>
      <rPr>
        <i/>
        <sz val="12"/>
        <rFont val="Arial"/>
        <family val="2"/>
      </rPr>
      <t>i</t>
    </r>
    <r>
      <rPr>
        <vertAlign val="subscript"/>
        <sz val="12"/>
        <rFont val="Arial"/>
        <family val="2"/>
      </rPr>
      <t>P,SS</t>
    </r>
  </si>
  <si>
    <r>
      <t>v</t>
    </r>
    <r>
      <rPr>
        <vertAlign val="subscript"/>
        <sz val="12"/>
        <rFont val="Arial"/>
        <family val="2"/>
      </rPr>
      <t>P01_NH4</t>
    </r>
    <r>
      <rPr>
        <sz val="12"/>
        <rFont val="Arial"/>
        <family val="2"/>
      </rPr>
      <t>*</t>
    </r>
    <r>
      <rPr>
        <i/>
        <sz val="12"/>
        <rFont val="Arial"/>
        <family val="2"/>
      </rPr>
      <t>i</t>
    </r>
    <r>
      <rPr>
        <vertAlign val="subscript"/>
        <sz val="12"/>
        <rFont val="Arial"/>
        <family val="2"/>
      </rPr>
      <t>Charge_NHx</t>
    </r>
    <r>
      <rPr>
        <sz val="12"/>
        <rFont val="Arial"/>
        <family val="2"/>
      </rPr>
      <t>+</t>
    </r>
    <r>
      <rPr>
        <i/>
        <sz val="12"/>
        <rFont val="Arial"/>
        <family val="2"/>
      </rPr>
      <t>v</t>
    </r>
    <r>
      <rPr>
        <vertAlign val="subscript"/>
        <sz val="12"/>
        <rFont val="Arial"/>
        <family val="2"/>
      </rPr>
      <t>P01_PO4</t>
    </r>
    <r>
      <rPr>
        <sz val="12"/>
        <rFont val="Arial"/>
        <family val="2"/>
      </rPr>
      <t>*</t>
    </r>
    <r>
      <rPr>
        <i/>
        <sz val="12"/>
        <rFont val="Arial"/>
        <family val="2"/>
      </rPr>
      <t>i</t>
    </r>
    <r>
      <rPr>
        <vertAlign val="subscript"/>
        <sz val="12"/>
        <rFont val="Arial"/>
        <family val="2"/>
      </rPr>
      <t>Charge_PO4</t>
    </r>
    <r>
      <rPr>
        <sz val="12"/>
        <rFont val="Arial"/>
        <family val="2"/>
      </rPr>
      <t>+</t>
    </r>
    <r>
      <rPr>
        <i/>
        <sz val="12"/>
        <rFont val="Arial"/>
        <family val="2"/>
      </rPr>
      <t>v</t>
    </r>
    <r>
      <rPr>
        <vertAlign val="subscript"/>
        <sz val="12"/>
        <rFont val="Arial"/>
        <family val="2"/>
      </rPr>
      <t>P01_PP</t>
    </r>
    <r>
      <rPr>
        <sz val="12"/>
        <rFont val="Arial"/>
        <family val="2"/>
      </rPr>
      <t>*</t>
    </r>
    <r>
      <rPr>
        <i/>
        <sz val="12"/>
        <rFont val="Arial"/>
        <family val="2"/>
      </rPr>
      <t>i</t>
    </r>
    <r>
      <rPr>
        <vertAlign val="subscript"/>
        <sz val="12"/>
        <rFont val="Arial"/>
        <family val="2"/>
      </rPr>
      <t>Charge_XPAO,PP</t>
    </r>
  </si>
  <si>
    <r>
      <t>K</t>
    </r>
    <r>
      <rPr>
        <vertAlign val="subscript"/>
        <sz val="12"/>
        <rFont val="Arial"/>
        <family val="2"/>
      </rPr>
      <t>S,H</t>
    </r>
  </si>
  <si>
    <r>
      <t>K</t>
    </r>
    <r>
      <rPr>
        <vertAlign val="subscript"/>
        <sz val="12"/>
        <rFont val="Arial"/>
        <family val="2"/>
      </rPr>
      <t>S,ANA</t>
    </r>
  </si>
  <si>
    <r>
      <t>K</t>
    </r>
    <r>
      <rPr>
        <vertAlign val="subscript"/>
        <sz val="12"/>
        <rFont val="Arial"/>
        <family val="2"/>
      </rPr>
      <t>SF,fe</t>
    </r>
  </si>
  <si>
    <r>
      <t>f</t>
    </r>
    <r>
      <rPr>
        <vertAlign val="subscript"/>
        <sz val="12"/>
        <color indexed="8"/>
        <rFont val="Arial"/>
        <family val="2"/>
      </rPr>
      <t>SU_PAO,lys</t>
    </r>
  </si>
  <si>
    <r>
      <t>K</t>
    </r>
    <r>
      <rPr>
        <vertAlign val="subscript"/>
        <sz val="12"/>
        <rFont val="Arial"/>
        <family val="2"/>
      </rPr>
      <t>O,HET</t>
    </r>
  </si>
  <si>
    <r>
      <t>K</t>
    </r>
    <r>
      <rPr>
        <vertAlign val="subscript"/>
        <sz val="12"/>
        <rFont val="Arial"/>
        <family val="2"/>
      </rPr>
      <t>NA</t>
    </r>
  </si>
  <si>
    <r>
      <t>K</t>
    </r>
    <r>
      <rPr>
        <vertAlign val="subscript"/>
        <sz val="12"/>
        <rFont val="Arial"/>
        <family val="2"/>
      </rPr>
      <t>P</t>
    </r>
  </si>
  <si>
    <r>
      <t>µ</t>
    </r>
    <r>
      <rPr>
        <vertAlign val="subscript"/>
        <sz val="12"/>
        <rFont val="Arial"/>
        <family val="2"/>
      </rPr>
      <t>P1</t>
    </r>
  </si>
  <si>
    <r>
      <t>µ</t>
    </r>
    <r>
      <rPr>
        <vertAlign val="subscript"/>
        <sz val="12"/>
        <rFont val="Arial"/>
        <family val="2"/>
      </rPr>
      <t>P2</t>
    </r>
  </si>
  <si>
    <r>
      <t>μ</t>
    </r>
    <r>
      <rPr>
        <vertAlign val="subscript"/>
        <sz val="12"/>
        <rFont val="Arial"/>
        <family val="2"/>
      </rPr>
      <t>PAO,Max,Plim</t>
    </r>
  </si>
  <si>
    <r>
      <t>η</t>
    </r>
    <r>
      <rPr>
        <vertAlign val="subscript"/>
        <sz val="12"/>
        <rFont val="Arial"/>
        <family val="2"/>
      </rPr>
      <t>p</t>
    </r>
  </si>
  <si>
    <r>
      <t>K</t>
    </r>
    <r>
      <rPr>
        <vertAlign val="subscript"/>
        <sz val="12"/>
        <rFont val="Arial"/>
        <family val="2"/>
      </rPr>
      <t>SP1</t>
    </r>
  </si>
  <si>
    <r>
      <t>K</t>
    </r>
    <r>
      <rPr>
        <vertAlign val="subscript"/>
        <sz val="12"/>
        <rFont val="Arial"/>
        <family val="2"/>
      </rPr>
      <t>SP2</t>
    </r>
  </si>
  <si>
    <r>
      <t>K</t>
    </r>
    <r>
      <rPr>
        <vertAlign val="subscript"/>
        <sz val="12"/>
        <rFont val="Arial"/>
        <family val="2"/>
      </rPr>
      <t>fPHA_PAO,Plim</t>
    </r>
  </si>
  <si>
    <r>
      <t>b</t>
    </r>
    <r>
      <rPr>
        <vertAlign val="subscript"/>
        <sz val="12"/>
        <rFont val="Arial"/>
        <family val="2"/>
      </rPr>
      <t>P</t>
    </r>
  </si>
  <si>
    <r>
      <t>K</t>
    </r>
    <r>
      <rPr>
        <vertAlign val="subscript"/>
        <sz val="12"/>
        <rFont val="Arial"/>
        <family val="2"/>
      </rPr>
      <t>SSEQ</t>
    </r>
  </si>
  <si>
    <r>
      <t>K</t>
    </r>
    <r>
      <rPr>
        <vertAlign val="subscript"/>
        <sz val="12"/>
        <rFont val="Arial"/>
        <family val="2"/>
      </rPr>
      <t>LP,UPT</t>
    </r>
  </si>
  <si>
    <r>
      <t>Y</t>
    </r>
    <r>
      <rPr>
        <vertAlign val="subscript"/>
        <sz val="12"/>
        <color indexed="8"/>
        <rFont val="Arial"/>
        <family val="2"/>
      </rPr>
      <t>Ac_PHA,PAO</t>
    </r>
  </si>
  <si>
    <r>
      <t>K</t>
    </r>
    <r>
      <rPr>
        <vertAlign val="subscript"/>
        <sz val="12"/>
        <rFont val="Arial"/>
        <family val="2"/>
      </rPr>
      <t>XP</t>
    </r>
  </si>
  <si>
    <t>0,2 - 1,0</t>
  </si>
  <si>
    <r>
      <t>i</t>
    </r>
    <r>
      <rPr>
        <vertAlign val="subscript"/>
        <sz val="12"/>
        <color indexed="8"/>
        <rFont val="Arial"/>
        <family val="2"/>
      </rPr>
      <t>N_OHO</t>
    </r>
  </si>
  <si>
    <r>
      <t>i</t>
    </r>
    <r>
      <rPr>
        <vertAlign val="subscript"/>
        <sz val="12"/>
        <color indexed="8"/>
        <rFont val="Arial"/>
        <family val="2"/>
      </rPr>
      <t>N_ANO</t>
    </r>
  </si>
  <si>
    <r>
      <t>i</t>
    </r>
    <r>
      <rPr>
        <vertAlign val="subscript"/>
        <sz val="12"/>
        <color indexed="8"/>
        <rFont val="Arial"/>
        <family val="2"/>
      </rPr>
      <t>N_PAO</t>
    </r>
  </si>
  <si>
    <r>
      <t>i</t>
    </r>
    <r>
      <rPr>
        <vertAlign val="subscript"/>
        <sz val="12"/>
        <color indexed="8"/>
        <rFont val="Arial"/>
        <family val="2"/>
      </rPr>
      <t>N_XUE,OHO</t>
    </r>
  </si>
  <si>
    <r>
      <t>K</t>
    </r>
    <r>
      <rPr>
        <vertAlign val="subscript"/>
        <sz val="12"/>
        <rFont val="Arial"/>
        <family val="2"/>
      </rPr>
      <t>R</t>
    </r>
  </si>
  <si>
    <r>
      <t>i</t>
    </r>
    <r>
      <rPr>
        <vertAlign val="subscript"/>
        <sz val="12"/>
        <color indexed="8"/>
        <rFont val="Arial"/>
        <family val="2"/>
      </rPr>
      <t>P_OHO</t>
    </r>
  </si>
  <si>
    <r>
      <t>i</t>
    </r>
    <r>
      <rPr>
        <vertAlign val="subscript"/>
        <sz val="12"/>
        <color indexed="8"/>
        <rFont val="Arial"/>
        <family val="2"/>
      </rPr>
      <t>P_ANO</t>
    </r>
  </si>
  <si>
    <r>
      <t>i</t>
    </r>
    <r>
      <rPr>
        <vertAlign val="subscript"/>
        <sz val="12"/>
        <color indexed="8"/>
        <rFont val="Arial"/>
        <family val="2"/>
      </rPr>
      <t>P_PAO</t>
    </r>
  </si>
  <si>
    <r>
      <t>i</t>
    </r>
    <r>
      <rPr>
        <vertAlign val="subscript"/>
        <sz val="12"/>
        <color indexed="8"/>
        <rFont val="Arial"/>
        <family val="2"/>
      </rPr>
      <t>P_XUE,OHO</t>
    </r>
  </si>
  <si>
    <r>
      <t>K</t>
    </r>
    <r>
      <rPr>
        <vertAlign val="subscript"/>
        <sz val="12"/>
        <rFont val="Arial"/>
        <family val="2"/>
      </rPr>
      <t>O,AUT</t>
    </r>
  </si>
  <si>
    <r>
      <t>S</t>
    </r>
    <r>
      <rPr>
        <b/>
        <vertAlign val="subscript"/>
        <sz val="14"/>
        <color indexed="8"/>
        <rFont val="Arial"/>
        <family val="2"/>
      </rPr>
      <t>N2</t>
    </r>
  </si>
  <si>
    <t>j</t>
  </si>
  <si>
    <t>ZH</t>
  </si>
  <si>
    <t>ZA</t>
  </si>
  <si>
    <t>ZP</t>
  </si>
  <si>
    <t>ZE</t>
  </si>
  <si>
    <t>SEMM</t>
  </si>
  <si>
    <t>SBSC</t>
  </si>
  <si>
    <t>SBSA</t>
  </si>
  <si>
    <t>SPHB</t>
  </si>
  <si>
    <t>SUP</t>
  </si>
  <si>
    <t>SUS</t>
  </si>
  <si>
    <t>PPP-LO</t>
  </si>
  <si>
    <t>PPP-HI</t>
  </si>
  <si>
    <t>PO4</t>
  </si>
  <si>
    <t>NBP</t>
  </si>
  <si>
    <t>NBS</t>
  </si>
  <si>
    <t>NO3</t>
  </si>
  <si>
    <t>NH3</t>
  </si>
  <si>
    <t>NUS</t>
  </si>
  <si>
    <t>SO</t>
  </si>
  <si>
    <t>SH2</t>
  </si>
  <si>
    <t>UCTPHO+</t>
  </si>
  <si>
    <t>Hu, Z. R., M. C. Wentzel, et al. (2007). A general kinetic model for biological nutrient removal activated sludge systems: Model development. Biotechnology and Bioengineering 98(6): 1242-1258.</t>
  </si>
  <si>
    <t>* Hu, Z. R., M. C. Wentzel, et al. (2007). A general kinetic model for biological nutrient removal activated sludge systems: Model development. Biotechnology and Bioengineering 98(6): 1242-1258.</t>
  </si>
  <si>
    <r>
      <t>X</t>
    </r>
    <r>
      <rPr>
        <vertAlign val="subscript"/>
        <sz val="12"/>
        <color indexed="8"/>
        <rFont val="Arial"/>
        <family val="2"/>
      </rPr>
      <t>E</t>
    </r>
  </si>
  <si>
    <r>
      <t>X</t>
    </r>
    <r>
      <rPr>
        <vertAlign val="subscript"/>
        <sz val="12"/>
        <color indexed="8"/>
        <rFont val="Arial"/>
        <family val="2"/>
      </rPr>
      <t>ADS</t>
    </r>
  </si>
  <si>
    <r>
      <t>X</t>
    </r>
    <r>
      <rPr>
        <vertAlign val="subscript"/>
        <sz val="12"/>
        <color indexed="8"/>
        <rFont val="Arial"/>
        <family val="2"/>
      </rPr>
      <t>ENM</t>
    </r>
  </si>
  <si>
    <r>
      <t>X</t>
    </r>
    <r>
      <rPr>
        <vertAlign val="subscript"/>
        <sz val="12"/>
        <color indexed="8"/>
        <rFont val="Arial"/>
        <family val="2"/>
      </rPr>
      <t>NIT</t>
    </r>
  </si>
  <si>
    <r>
      <t>X</t>
    </r>
    <r>
      <rPr>
        <vertAlign val="subscript"/>
        <sz val="12"/>
        <rFont val="Arial"/>
        <family val="2"/>
      </rPr>
      <t>ENM</t>
    </r>
  </si>
  <si>
    <t>Adsorbed slowly biodegradable substrate</t>
  </si>
  <si>
    <r>
      <t>X</t>
    </r>
    <r>
      <rPr>
        <vertAlign val="subscript"/>
        <sz val="12"/>
        <rFont val="Arial"/>
        <family val="2"/>
      </rPr>
      <t>ADS</t>
    </r>
  </si>
  <si>
    <r>
      <t>X</t>
    </r>
    <r>
      <rPr>
        <vertAlign val="subscript"/>
        <sz val="11"/>
        <rFont val="Arial"/>
        <family val="2"/>
      </rPr>
      <t>Ads</t>
    </r>
  </si>
  <si>
    <r>
      <t>X</t>
    </r>
    <r>
      <rPr>
        <vertAlign val="subscript"/>
        <sz val="11"/>
        <rFont val="Arial"/>
        <family val="2"/>
      </rPr>
      <t>U,Inf</t>
    </r>
  </si>
  <si>
    <r>
      <t>X</t>
    </r>
    <r>
      <rPr>
        <vertAlign val="subscript"/>
        <sz val="12"/>
        <rFont val="Arial"/>
        <family val="2"/>
      </rPr>
      <t>E</t>
    </r>
  </si>
  <si>
    <r>
      <t>X</t>
    </r>
    <r>
      <rPr>
        <vertAlign val="subscript"/>
        <sz val="11"/>
        <rFont val="Arial"/>
        <family val="2"/>
      </rPr>
      <t>U,E</t>
    </r>
  </si>
  <si>
    <r>
      <t>X</t>
    </r>
    <r>
      <rPr>
        <vertAlign val="subscript"/>
        <sz val="12"/>
        <rFont val="Arial"/>
        <family val="2"/>
      </rPr>
      <t>NIT</t>
    </r>
  </si>
  <si>
    <t>heterotrophic decay</t>
  </si>
  <si>
    <r>
      <t>f</t>
    </r>
    <r>
      <rPr>
        <vertAlign val="subscript"/>
        <sz val="12"/>
        <rFont val="Arial"/>
        <family val="2"/>
      </rPr>
      <t>XE,H</t>
    </r>
  </si>
  <si>
    <r>
      <t>i</t>
    </r>
    <r>
      <rPr>
        <vertAlign val="subscript"/>
        <sz val="12"/>
        <color indexed="8"/>
        <rFont val="Arial"/>
        <family val="2"/>
      </rPr>
      <t>NSF</t>
    </r>
  </si>
  <si>
    <r>
      <t>i</t>
    </r>
    <r>
      <rPr>
        <vertAlign val="subscript"/>
        <sz val="12"/>
        <color indexed="10"/>
        <rFont val="Arial"/>
        <family val="2"/>
      </rPr>
      <t>PSF</t>
    </r>
  </si>
  <si>
    <r>
      <t>Y</t>
    </r>
    <r>
      <rPr>
        <vertAlign val="subscript"/>
        <sz val="12"/>
        <rFont val="Arial"/>
        <family val="2"/>
      </rPr>
      <t>H1</t>
    </r>
  </si>
  <si>
    <r>
      <t>Y</t>
    </r>
    <r>
      <rPr>
        <vertAlign val="subscript"/>
        <sz val="11"/>
        <rFont val="Arial"/>
        <family val="2"/>
      </rPr>
      <t>OHO,Ox</t>
    </r>
  </si>
  <si>
    <r>
      <t>f</t>
    </r>
    <r>
      <rPr>
        <vertAlign val="subscript"/>
        <sz val="12"/>
        <rFont val="Arial"/>
        <family val="2"/>
      </rPr>
      <t>XE,NIT</t>
    </r>
  </si>
  <si>
    <r>
      <t>Y</t>
    </r>
    <r>
      <rPr>
        <vertAlign val="subscript"/>
        <sz val="12"/>
        <rFont val="Arial"/>
        <family val="2"/>
      </rPr>
      <t>H2</t>
    </r>
  </si>
  <si>
    <r>
      <t>Y</t>
    </r>
    <r>
      <rPr>
        <vertAlign val="subscript"/>
        <sz val="11"/>
        <rFont val="Arial"/>
        <family val="2"/>
      </rPr>
      <t>OHO,Ax</t>
    </r>
  </si>
  <si>
    <r>
      <t>f</t>
    </r>
    <r>
      <rPr>
        <vertAlign val="subscript"/>
        <sz val="11"/>
        <rFont val="Arial"/>
        <family val="2"/>
      </rPr>
      <t>XU_OHO,lys</t>
    </r>
  </si>
  <si>
    <r>
      <t>Y</t>
    </r>
    <r>
      <rPr>
        <vertAlign val="subscript"/>
        <sz val="12"/>
        <rFont val="Arial"/>
        <family val="2"/>
      </rPr>
      <t>PAO1</t>
    </r>
  </si>
  <si>
    <r>
      <t>Y</t>
    </r>
    <r>
      <rPr>
        <vertAlign val="subscript"/>
        <sz val="11"/>
        <rFont val="Arial"/>
        <family val="2"/>
      </rPr>
      <t>PAO,Ox</t>
    </r>
  </si>
  <si>
    <r>
      <t>Y</t>
    </r>
    <r>
      <rPr>
        <vertAlign val="subscript"/>
        <sz val="12"/>
        <rFont val="Arial"/>
        <family val="2"/>
      </rPr>
      <t>PAO2</t>
    </r>
  </si>
  <si>
    <r>
      <t>Y</t>
    </r>
    <r>
      <rPr>
        <vertAlign val="subscript"/>
        <sz val="11"/>
        <rFont val="Arial"/>
        <family val="2"/>
      </rPr>
      <t>PAO,Ax</t>
    </r>
  </si>
  <si>
    <r>
      <t>Y</t>
    </r>
    <r>
      <rPr>
        <vertAlign val="subscript"/>
        <sz val="12"/>
        <rFont val="Arial"/>
        <family val="2"/>
      </rPr>
      <t>PP1</t>
    </r>
  </si>
  <si>
    <r>
      <t>Y</t>
    </r>
    <r>
      <rPr>
        <vertAlign val="subscript"/>
        <sz val="11"/>
        <rFont val="Arial"/>
        <family val="2"/>
      </rPr>
      <t>PHA_PP,Ox</t>
    </r>
  </si>
  <si>
    <r>
      <t>Y</t>
    </r>
    <r>
      <rPr>
        <vertAlign val="subscript"/>
        <sz val="12"/>
        <rFont val="Arial"/>
        <family val="2"/>
      </rPr>
      <t>PP2</t>
    </r>
  </si>
  <si>
    <r>
      <t>Y</t>
    </r>
    <r>
      <rPr>
        <vertAlign val="subscript"/>
        <sz val="11"/>
        <rFont val="Arial"/>
        <family val="2"/>
      </rPr>
      <t>PHA_PP,Ax</t>
    </r>
  </si>
  <si>
    <r>
      <t>Y</t>
    </r>
    <r>
      <rPr>
        <vertAlign val="subscript"/>
        <sz val="11"/>
        <rFont val="Arial"/>
        <family val="2"/>
      </rPr>
      <t>PP_PHA,PAO</t>
    </r>
  </si>
  <si>
    <r>
      <t>f</t>
    </r>
    <r>
      <rPr>
        <vertAlign val="subscript"/>
        <sz val="12"/>
        <color indexed="8"/>
        <rFont val="Arial"/>
        <family val="2"/>
      </rPr>
      <t>SI,PAO</t>
    </r>
  </si>
  <si>
    <r>
      <t>f</t>
    </r>
    <r>
      <rPr>
        <vertAlign val="subscript"/>
        <sz val="12"/>
        <color indexed="8"/>
        <rFont val="Arial"/>
        <family val="2"/>
      </rPr>
      <t>XE,PAO</t>
    </r>
  </si>
  <si>
    <r>
      <t>f</t>
    </r>
    <r>
      <rPr>
        <vertAlign val="subscript"/>
        <sz val="11"/>
        <rFont val="Arial"/>
        <family val="2"/>
      </rPr>
      <t>XU_PAO,lys</t>
    </r>
  </si>
  <si>
    <r>
      <t>f</t>
    </r>
    <r>
      <rPr>
        <vertAlign val="subscript"/>
        <sz val="11"/>
        <rFont val="Arial"/>
        <family val="2"/>
      </rPr>
      <t>SU_PAO,lys</t>
    </r>
  </si>
  <si>
    <r>
      <t>Y</t>
    </r>
    <r>
      <rPr>
        <vertAlign val="subscript"/>
        <sz val="12"/>
        <rFont val="Arial"/>
        <family val="2"/>
      </rPr>
      <t>NIT</t>
    </r>
  </si>
  <si>
    <r>
      <t>i</t>
    </r>
    <r>
      <rPr>
        <vertAlign val="subscript"/>
        <sz val="12"/>
        <rFont val="Arial"/>
        <family val="2"/>
      </rPr>
      <t>NSF</t>
    </r>
  </si>
  <si>
    <r>
      <t>i</t>
    </r>
    <r>
      <rPr>
        <vertAlign val="subscript"/>
        <sz val="12"/>
        <rFont val="Arial"/>
        <family val="2"/>
      </rPr>
      <t>NSI</t>
    </r>
  </si>
  <si>
    <r>
      <t>i</t>
    </r>
    <r>
      <rPr>
        <vertAlign val="subscript"/>
        <sz val="12"/>
        <rFont val="Arial"/>
        <family val="2"/>
      </rPr>
      <t>NXI</t>
    </r>
  </si>
  <si>
    <r>
      <t>i</t>
    </r>
    <r>
      <rPr>
        <vertAlign val="subscript"/>
        <sz val="12"/>
        <rFont val="Arial"/>
        <family val="2"/>
      </rPr>
      <t>NENM</t>
    </r>
  </si>
  <si>
    <r>
      <t>i</t>
    </r>
    <r>
      <rPr>
        <vertAlign val="subscript"/>
        <sz val="12"/>
        <rFont val="Arial"/>
        <family val="2"/>
      </rPr>
      <t>NBM</t>
    </r>
  </si>
  <si>
    <r>
      <t>i</t>
    </r>
    <r>
      <rPr>
        <vertAlign val="subscript"/>
        <sz val="12"/>
        <rFont val="Arial"/>
        <family val="2"/>
      </rPr>
      <t>NXE</t>
    </r>
  </si>
  <si>
    <r>
      <t>i</t>
    </r>
    <r>
      <rPr>
        <vertAlign val="subscript"/>
        <sz val="11"/>
        <rFont val="Arial"/>
        <family val="2"/>
      </rPr>
      <t>N_XUE</t>
    </r>
  </si>
  <si>
    <r>
      <t>i</t>
    </r>
    <r>
      <rPr>
        <vertAlign val="subscript"/>
        <sz val="12"/>
        <rFont val="Arial"/>
        <family val="2"/>
      </rPr>
      <t>PSF</t>
    </r>
  </si>
  <si>
    <r>
      <t>i</t>
    </r>
    <r>
      <rPr>
        <vertAlign val="subscript"/>
        <sz val="12"/>
        <rFont val="Arial"/>
        <family val="2"/>
      </rPr>
      <t>PSI</t>
    </r>
  </si>
  <si>
    <r>
      <t>i</t>
    </r>
    <r>
      <rPr>
        <vertAlign val="subscript"/>
        <sz val="12"/>
        <rFont val="Arial"/>
        <family val="2"/>
      </rPr>
      <t>PXI</t>
    </r>
  </si>
  <si>
    <r>
      <t>i</t>
    </r>
    <r>
      <rPr>
        <vertAlign val="subscript"/>
        <sz val="12"/>
        <rFont val="Arial"/>
        <family val="2"/>
      </rPr>
      <t>PENM</t>
    </r>
  </si>
  <si>
    <r>
      <t>i</t>
    </r>
    <r>
      <rPr>
        <vertAlign val="subscript"/>
        <sz val="12"/>
        <color indexed="8"/>
        <rFont val="Arial"/>
        <family val="2"/>
      </rPr>
      <t>NSI</t>
    </r>
  </si>
  <si>
    <r>
      <t>i</t>
    </r>
    <r>
      <rPr>
        <vertAlign val="subscript"/>
        <sz val="12"/>
        <color indexed="8"/>
        <rFont val="Arial"/>
        <family val="2"/>
      </rPr>
      <t>NXE</t>
    </r>
  </si>
  <si>
    <r>
      <t>i</t>
    </r>
    <r>
      <rPr>
        <vertAlign val="subscript"/>
        <sz val="12"/>
        <color indexed="8"/>
        <rFont val="Arial"/>
        <family val="2"/>
      </rPr>
      <t>NXI</t>
    </r>
  </si>
  <si>
    <r>
      <t>i</t>
    </r>
    <r>
      <rPr>
        <vertAlign val="subscript"/>
        <sz val="12"/>
        <color indexed="8"/>
        <rFont val="Arial"/>
        <family val="2"/>
      </rPr>
      <t>NENM</t>
    </r>
  </si>
  <si>
    <r>
      <t>i</t>
    </r>
    <r>
      <rPr>
        <vertAlign val="subscript"/>
        <sz val="12"/>
        <color indexed="8"/>
        <rFont val="Arial"/>
        <family val="2"/>
      </rPr>
      <t>NBM</t>
    </r>
  </si>
  <si>
    <r>
      <t>i</t>
    </r>
    <r>
      <rPr>
        <vertAlign val="subscript"/>
        <sz val="12"/>
        <rFont val="Arial"/>
        <family val="2"/>
      </rPr>
      <t>PBM</t>
    </r>
  </si>
  <si>
    <r>
      <t>i</t>
    </r>
    <r>
      <rPr>
        <vertAlign val="subscript"/>
        <sz val="12"/>
        <color indexed="8"/>
        <rFont val="Arial"/>
        <family val="2"/>
      </rPr>
      <t>PSF</t>
    </r>
  </si>
  <si>
    <r>
      <t>i</t>
    </r>
    <r>
      <rPr>
        <vertAlign val="subscript"/>
        <sz val="12"/>
        <color indexed="8"/>
        <rFont val="Arial"/>
        <family val="2"/>
      </rPr>
      <t>PSI</t>
    </r>
  </si>
  <si>
    <r>
      <t>i</t>
    </r>
    <r>
      <rPr>
        <vertAlign val="subscript"/>
        <sz val="12"/>
        <color indexed="8"/>
        <rFont val="Arial"/>
        <family val="2"/>
      </rPr>
      <t>PXE</t>
    </r>
  </si>
  <si>
    <r>
      <t>i</t>
    </r>
    <r>
      <rPr>
        <vertAlign val="subscript"/>
        <sz val="12"/>
        <color indexed="8"/>
        <rFont val="Arial"/>
        <family val="2"/>
      </rPr>
      <t>PXI</t>
    </r>
  </si>
  <si>
    <r>
      <t>i</t>
    </r>
    <r>
      <rPr>
        <vertAlign val="subscript"/>
        <sz val="12"/>
        <color indexed="8"/>
        <rFont val="Arial"/>
        <family val="2"/>
      </rPr>
      <t>PENM</t>
    </r>
  </si>
  <si>
    <r>
      <t>i</t>
    </r>
    <r>
      <rPr>
        <vertAlign val="subscript"/>
        <sz val="12"/>
        <color indexed="8"/>
        <rFont val="Arial"/>
        <family val="2"/>
      </rPr>
      <t>PBM</t>
    </r>
  </si>
  <si>
    <t>P content of products from biomass</t>
  </si>
  <si>
    <r>
      <t>i</t>
    </r>
    <r>
      <rPr>
        <vertAlign val="subscript"/>
        <sz val="12"/>
        <rFont val="Arial"/>
        <family val="2"/>
      </rPr>
      <t>PXE</t>
    </r>
  </si>
  <si>
    <r>
      <t>i</t>
    </r>
    <r>
      <rPr>
        <vertAlign val="subscript"/>
        <sz val="11"/>
        <rFont val="Arial"/>
        <family val="2"/>
      </rPr>
      <t>P_XUE</t>
    </r>
  </si>
  <si>
    <r>
      <t>K</t>
    </r>
    <r>
      <rPr>
        <vertAlign val="subscript"/>
        <sz val="11"/>
        <rFont val="Arial"/>
        <family val="2"/>
      </rPr>
      <t>PO4,Bio,nut</t>
    </r>
  </si>
  <si>
    <r>
      <t>X</t>
    </r>
    <r>
      <rPr>
        <vertAlign val="subscript"/>
        <sz val="12"/>
        <color indexed="8"/>
        <rFont val="Arial"/>
        <family val="2"/>
      </rPr>
      <t>Ads</t>
    </r>
  </si>
  <si>
    <r>
      <t>K</t>
    </r>
    <r>
      <rPr>
        <vertAlign val="subscript"/>
        <sz val="12"/>
        <rFont val="Arial"/>
        <family val="2"/>
      </rPr>
      <t>ADS</t>
    </r>
  </si>
  <si>
    <r>
      <t>q</t>
    </r>
    <r>
      <rPr>
        <vertAlign val="subscript"/>
        <sz val="11"/>
        <rFont val="Arial"/>
        <family val="2"/>
      </rPr>
      <t>XCB_Ads</t>
    </r>
  </si>
  <si>
    <t>3,2 - 4,8</t>
  </si>
  <si>
    <t>Aerobic growth of XOHO on SAx with SNOx</t>
  </si>
  <si>
    <r>
      <t>η</t>
    </r>
    <r>
      <rPr>
        <vertAlign val="subscript"/>
        <sz val="12"/>
        <rFont val="Arial"/>
        <family val="2"/>
      </rPr>
      <t>H</t>
    </r>
  </si>
  <si>
    <t>0 - 0,6</t>
  </si>
  <si>
    <r>
      <t>K</t>
    </r>
    <r>
      <rPr>
        <vertAlign val="subscript"/>
        <sz val="12"/>
        <rFont val="Arial"/>
        <family val="2"/>
      </rPr>
      <t>MP</t>
    </r>
  </si>
  <si>
    <r>
      <t>μ</t>
    </r>
    <r>
      <rPr>
        <vertAlign val="subscript"/>
        <sz val="11"/>
        <rFont val="Arial"/>
        <family val="2"/>
      </rPr>
      <t>Ads_OHO,Max</t>
    </r>
  </si>
  <si>
    <t>Anoxic growth of XOHO on SAc with SNOx</t>
  </si>
  <si>
    <r>
      <t>f</t>
    </r>
    <r>
      <rPr>
        <vertAlign val="subscript"/>
        <sz val="12"/>
        <rFont val="Arial"/>
        <family val="2"/>
      </rPr>
      <t>MA</t>
    </r>
  </si>
  <si>
    <r>
      <t>f</t>
    </r>
    <r>
      <rPr>
        <vertAlign val="subscript"/>
        <sz val="11"/>
        <rFont val="Arial"/>
        <family val="2"/>
      </rPr>
      <t>Ads_OHO,Max</t>
    </r>
  </si>
  <si>
    <r>
      <t>K</t>
    </r>
    <r>
      <rPr>
        <vertAlign val="subscript"/>
        <sz val="12"/>
        <rFont val="Arial"/>
        <family val="2"/>
      </rPr>
      <t>FE</t>
    </r>
  </si>
  <si>
    <t>Aerobic growth of XOHO on SF with SNOx</t>
  </si>
  <si>
    <r>
      <t>K</t>
    </r>
    <r>
      <rPr>
        <vertAlign val="subscript"/>
        <sz val="12"/>
        <rFont val="Arial"/>
        <family val="2"/>
      </rPr>
      <t>A</t>
    </r>
  </si>
  <si>
    <t>Anoxic growth of XOHO on SF with SNOx</t>
  </si>
  <si>
    <r>
      <t>K</t>
    </r>
    <r>
      <rPr>
        <vertAlign val="subscript"/>
        <sz val="12"/>
        <rFont val="Arial"/>
        <family val="2"/>
      </rPr>
      <t>SP</t>
    </r>
  </si>
  <si>
    <r>
      <t>K</t>
    </r>
    <r>
      <rPr>
        <vertAlign val="subscript"/>
        <sz val="11"/>
        <rFont val="Arial"/>
        <family val="2"/>
      </rPr>
      <t>Ads_OHO</t>
    </r>
  </si>
  <si>
    <t>Aerobic growth of XOHO on XAds with SNOx</t>
  </si>
  <si>
    <r>
      <t>K</t>
    </r>
    <r>
      <rPr>
        <vertAlign val="subscript"/>
        <sz val="12"/>
        <rFont val="Arial"/>
        <family val="2"/>
      </rPr>
      <t>OH</t>
    </r>
  </si>
  <si>
    <r>
      <t>K</t>
    </r>
    <r>
      <rPr>
        <vertAlign val="subscript"/>
        <sz val="12"/>
        <rFont val="Arial"/>
        <family val="2"/>
      </rPr>
      <t>NO3</t>
    </r>
  </si>
  <si>
    <t>Anoxic growth of XOHO on XAds with SNOx</t>
  </si>
  <si>
    <r>
      <t>q</t>
    </r>
    <r>
      <rPr>
        <vertAlign val="subscript"/>
        <sz val="11"/>
        <rFont val="Arial"/>
        <family val="2"/>
      </rPr>
      <t>PAO,Ac_PHA</t>
    </r>
  </si>
  <si>
    <r>
      <t>µ</t>
    </r>
    <r>
      <rPr>
        <vertAlign val="subscript"/>
        <sz val="12"/>
        <rFont val="Arial"/>
        <family val="2"/>
      </rPr>
      <t>PAO1</t>
    </r>
  </si>
  <si>
    <r>
      <t>μ</t>
    </r>
    <r>
      <rPr>
        <vertAlign val="subscript"/>
        <sz val="11"/>
        <rFont val="Arial"/>
        <family val="2"/>
      </rPr>
      <t>PAO,Max</t>
    </r>
  </si>
  <si>
    <r>
      <t>i</t>
    </r>
    <r>
      <rPr>
        <vertAlign val="subscript"/>
        <sz val="12"/>
        <color indexed="10"/>
        <rFont val="Arial"/>
        <family val="2"/>
      </rPr>
      <t>P_SF</t>
    </r>
  </si>
  <si>
    <r>
      <t>µ</t>
    </r>
    <r>
      <rPr>
        <vertAlign val="subscript"/>
        <sz val="12"/>
        <rFont val="Arial"/>
        <family val="2"/>
      </rPr>
      <t>PAO2</t>
    </r>
  </si>
  <si>
    <r>
      <t>μ</t>
    </r>
    <r>
      <rPr>
        <vertAlign val="subscript"/>
        <sz val="11"/>
        <rFont val="Arial"/>
        <family val="2"/>
      </rPr>
      <t>PAO,Max,Plim</t>
    </r>
  </si>
  <si>
    <r>
      <t>η</t>
    </r>
    <r>
      <rPr>
        <vertAlign val="subscript"/>
        <sz val="12"/>
        <rFont val="Arial"/>
        <family val="2"/>
      </rPr>
      <t>PAO</t>
    </r>
  </si>
  <si>
    <r>
      <t>n</t>
    </r>
    <r>
      <rPr>
        <vertAlign val="subscript"/>
        <sz val="11"/>
        <rFont val="Arial"/>
        <family val="2"/>
      </rPr>
      <t>μPAO</t>
    </r>
  </si>
  <si>
    <r>
      <t>K</t>
    </r>
    <r>
      <rPr>
        <vertAlign val="subscript"/>
        <sz val="12"/>
        <rFont val="Arial"/>
        <family val="2"/>
      </rPr>
      <t>PHA1</t>
    </r>
  </si>
  <si>
    <r>
      <t>K</t>
    </r>
    <r>
      <rPr>
        <vertAlign val="subscript"/>
        <sz val="12"/>
        <rFont val="Arial"/>
        <family val="2"/>
      </rPr>
      <t>PHA2</t>
    </r>
  </si>
  <si>
    <r>
      <t>K</t>
    </r>
    <r>
      <rPr>
        <vertAlign val="subscript"/>
        <sz val="11"/>
        <rFont val="Arial"/>
        <family val="2"/>
      </rPr>
      <t>fPHA_PAO,Plim</t>
    </r>
  </si>
  <si>
    <t>Aerobic growth of XPAO on XPAO,PHA with SNOx</t>
  </si>
  <si>
    <r>
      <t>m</t>
    </r>
    <r>
      <rPr>
        <vertAlign val="subscript"/>
        <sz val="11"/>
        <rFont val="Arial"/>
        <family val="2"/>
      </rPr>
      <t>PAO</t>
    </r>
  </si>
  <si>
    <r>
      <t>b</t>
    </r>
    <r>
      <rPr>
        <vertAlign val="subscript"/>
        <sz val="11"/>
        <rFont val="Arial"/>
        <family val="2"/>
      </rPr>
      <t>PP_PO4</t>
    </r>
  </si>
  <si>
    <t>Aerobic growth of XPAO on XPAO,PHA with SNOx / SPO4 limited</t>
  </si>
  <si>
    <r>
      <t>K</t>
    </r>
    <r>
      <rPr>
        <vertAlign val="subscript"/>
        <sz val="12"/>
        <rFont val="Arial"/>
        <family val="2"/>
      </rPr>
      <t>AC</t>
    </r>
  </si>
  <si>
    <r>
      <t>f</t>
    </r>
    <r>
      <rPr>
        <vertAlign val="subscript"/>
        <sz val="12"/>
        <color indexed="8"/>
        <rFont val="Arial"/>
        <family val="2"/>
      </rPr>
      <t>XU_PAO,lys</t>
    </r>
  </si>
  <si>
    <t>Half saturation parameter for PHA lysis (phosphorus continuity)</t>
  </si>
  <si>
    <r>
      <t>K</t>
    </r>
    <r>
      <rPr>
        <vertAlign val="subscript"/>
        <sz val="12"/>
        <color indexed="10"/>
        <rFont val="Arial"/>
        <family val="2"/>
      </rPr>
      <t>PO4,PAO,lys</t>
    </r>
  </si>
  <si>
    <r>
      <t>μ</t>
    </r>
    <r>
      <rPr>
        <vertAlign val="subscript"/>
        <sz val="12"/>
        <rFont val="Arial"/>
        <family val="2"/>
      </rPr>
      <t>NIT</t>
    </r>
  </si>
  <si>
    <t>0,2 - 1,2</t>
  </si>
  <si>
    <r>
      <t>b</t>
    </r>
    <r>
      <rPr>
        <vertAlign val="subscript"/>
        <sz val="12"/>
        <rFont val="Arial"/>
        <family val="2"/>
      </rPr>
      <t>NIT</t>
    </r>
  </si>
  <si>
    <r>
      <t>K</t>
    </r>
    <r>
      <rPr>
        <vertAlign val="subscript"/>
        <sz val="12"/>
        <rFont val="Arial"/>
        <family val="2"/>
      </rPr>
      <t>ON</t>
    </r>
  </si>
  <si>
    <r>
      <t>i</t>
    </r>
    <r>
      <rPr>
        <vertAlign val="subscript"/>
        <sz val="12"/>
        <color indexed="8"/>
        <rFont val="Arial"/>
        <family val="2"/>
      </rPr>
      <t>P_XUE</t>
    </r>
  </si>
  <si>
    <t>Composition matrix</t>
  </si>
  <si>
    <t>Cleavage of polYpao for anoxic maintenance</t>
  </si>
  <si>
    <t>Cleavage of polYpao for anaerobic maintenance</t>
  </si>
  <si>
    <t>SNH4</t>
  </si>
  <si>
    <t>SNO3</t>
  </si>
  <si>
    <t>SPO4</t>
  </si>
  <si>
    <t>XE</t>
  </si>
  <si>
    <t>XI</t>
  </si>
  <si>
    <t>Xads</t>
  </si>
  <si>
    <t>XENM</t>
  </si>
  <si>
    <t>XNIT</t>
  </si>
  <si>
    <r>
      <t>H. Hauduc</t>
    </r>
    <r>
      <rPr>
        <vertAlign val="superscript"/>
        <sz val="10"/>
        <color indexed="8"/>
        <rFont val="Arial"/>
        <family val="2"/>
      </rPr>
      <t>a,b</t>
    </r>
    <r>
      <rPr>
        <sz val="10"/>
        <color indexed="8"/>
        <rFont val="Arial"/>
        <family val="2"/>
      </rPr>
      <t>, L. Rieger</t>
    </r>
    <r>
      <rPr>
        <vertAlign val="superscript"/>
        <sz val="10"/>
        <color indexed="8"/>
        <rFont val="Arial"/>
        <family val="2"/>
      </rPr>
      <t>b,c</t>
    </r>
    <r>
      <rPr>
        <vertAlign val="subscript"/>
        <sz val="10"/>
        <color indexed="8"/>
        <rFont val="Arial"/>
        <family val="2"/>
      </rPr>
      <t>,</t>
    </r>
    <r>
      <rPr>
        <sz val="10"/>
        <color indexed="8"/>
        <rFont val="Arial"/>
        <family val="2"/>
      </rPr>
      <t xml:space="preserve"> I. Takács</t>
    </r>
    <r>
      <rPr>
        <vertAlign val="superscript"/>
        <sz val="10"/>
        <color indexed="8"/>
        <rFont val="Arial"/>
        <family val="2"/>
      </rPr>
      <t>d</t>
    </r>
    <r>
      <rPr>
        <sz val="10"/>
        <color indexed="8"/>
        <rFont val="Arial"/>
        <family val="2"/>
      </rPr>
      <t>, A. Héduit</t>
    </r>
    <r>
      <rPr>
        <vertAlign val="superscript"/>
        <sz val="10"/>
        <color indexed="8"/>
        <rFont val="Arial"/>
        <family val="2"/>
      </rPr>
      <t>a</t>
    </r>
    <r>
      <rPr>
        <sz val="10"/>
        <color indexed="8"/>
        <rFont val="Arial"/>
        <family val="2"/>
      </rPr>
      <t>, P.A. Vanrolleghem</t>
    </r>
    <r>
      <rPr>
        <vertAlign val="superscript"/>
        <sz val="10"/>
        <color indexed="8"/>
        <rFont val="Arial"/>
        <family val="2"/>
      </rPr>
      <t>b</t>
    </r>
    <r>
      <rPr>
        <sz val="10"/>
        <color indexed="8"/>
        <rFont val="Arial"/>
        <family val="2"/>
      </rPr>
      <t xml:space="preserve"> and S. Gillot</t>
    </r>
    <r>
      <rPr>
        <vertAlign val="superscript"/>
        <sz val="10"/>
        <color indexed="8"/>
        <rFont val="Arial"/>
        <family val="2"/>
      </rPr>
      <t>a*</t>
    </r>
  </si>
  <si>
    <r>
      <t>a</t>
    </r>
    <r>
      <rPr>
        <sz val="10"/>
        <color indexed="8"/>
        <rFont val="Arial"/>
        <family val="2"/>
      </rPr>
      <t xml:space="preserve"> Cemagref, UR HBAN, Parc de Tourvoie, BP 44, F-92163 Antony Cedex, France.</t>
    </r>
  </si>
  <si>
    <r>
      <t xml:space="preserve">b </t>
    </r>
    <r>
      <rPr>
        <sz val="10"/>
        <color indexed="8"/>
        <rFont val="Arial"/>
        <family val="2"/>
      </rPr>
      <t>model</t>
    </r>
    <r>
      <rPr>
        <i/>
        <sz val="10"/>
        <color indexed="8"/>
        <rFont val="Arial"/>
        <family val="2"/>
      </rPr>
      <t>EAU</t>
    </r>
    <r>
      <rPr>
        <sz val="10"/>
        <color indexed="8"/>
        <rFont val="Arial"/>
        <family val="2"/>
      </rPr>
      <t>, Université Laval, Département de génie civil, Pavillon Adrien-Pouliot, 1065 av. de la Médecine, Québec (QC), G1V 0A6, Canada.</t>
    </r>
  </si>
  <si>
    <r>
      <t xml:space="preserve">c </t>
    </r>
    <r>
      <rPr>
        <sz val="10"/>
        <color indexed="8"/>
        <rFont val="Arial"/>
        <family val="2"/>
      </rPr>
      <t>EnviroSim Associates Ltd., 7 Innovation Drive, Suite 205, Flamborough (ON), L9H 7H9, Canada.</t>
    </r>
  </si>
  <si>
    <r>
      <t xml:space="preserve">d </t>
    </r>
    <r>
      <rPr>
        <sz val="10"/>
        <color indexed="8"/>
        <rFont val="Arial"/>
        <family val="2"/>
      </rPr>
      <t>EnviroSim Europe, 15 Impasse Fauré, 33000 Bordeaux, France.</t>
    </r>
  </si>
  <si>
    <r>
      <t xml:space="preserve">Keywords </t>
    </r>
    <r>
      <rPr>
        <sz val="10"/>
        <color indexed="8"/>
        <rFont val="Arial"/>
        <family val="2"/>
      </rPr>
      <t>ASM, Continuity, Composition Matrix, Errors, Gujer Matrix, Model implementation, Petersen Matrix</t>
    </r>
  </si>
  <si>
    <r>
      <t>-1/</t>
    </r>
    <r>
      <rPr>
        <i/>
        <sz val="12"/>
        <rFont val="Arial"/>
        <family val="2"/>
      </rPr>
      <t>Y</t>
    </r>
    <r>
      <rPr>
        <vertAlign val="subscript"/>
        <sz val="12"/>
        <rFont val="Arial"/>
        <family val="2"/>
      </rPr>
      <t>H</t>
    </r>
  </si>
  <si>
    <r>
      <t>-(1-</t>
    </r>
    <r>
      <rPr>
        <i/>
        <sz val="12"/>
        <rFont val="Arial"/>
        <family val="2"/>
      </rPr>
      <t>Y</t>
    </r>
    <r>
      <rPr>
        <vertAlign val="subscript"/>
        <sz val="12"/>
        <rFont val="Arial"/>
        <family val="2"/>
      </rPr>
      <t>H</t>
    </r>
    <r>
      <rPr>
        <sz val="12"/>
        <rFont val="Arial"/>
        <family val="2"/>
      </rPr>
      <t>)/</t>
    </r>
    <r>
      <rPr>
        <i/>
        <sz val="12"/>
        <rFont val="Arial"/>
        <family val="2"/>
      </rPr>
      <t>Y</t>
    </r>
    <r>
      <rPr>
        <vertAlign val="subscript"/>
        <sz val="12"/>
        <rFont val="Arial"/>
        <family val="2"/>
      </rPr>
      <t>H</t>
    </r>
  </si>
  <si>
    <r>
      <t>-</t>
    </r>
    <r>
      <rPr>
        <i/>
        <sz val="12"/>
        <rFont val="Arial"/>
        <family val="2"/>
      </rPr>
      <t>i</t>
    </r>
    <r>
      <rPr>
        <vertAlign val="subscript"/>
        <sz val="12"/>
        <rFont val="Arial"/>
        <family val="2"/>
      </rPr>
      <t>XB</t>
    </r>
  </si>
  <si>
    <r>
      <t>-</t>
    </r>
    <r>
      <rPr>
        <i/>
        <sz val="12"/>
        <rFont val="Arial"/>
        <family val="2"/>
      </rPr>
      <t>i</t>
    </r>
    <r>
      <rPr>
        <vertAlign val="subscript"/>
        <sz val="12"/>
        <rFont val="Arial"/>
        <family val="2"/>
      </rPr>
      <t>XB</t>
    </r>
    <r>
      <rPr>
        <sz val="12"/>
        <rFont val="Arial"/>
        <family val="2"/>
      </rPr>
      <t>*</t>
    </r>
    <r>
      <rPr>
        <i/>
        <sz val="12"/>
        <rFont val="Arial"/>
        <family val="2"/>
      </rPr>
      <t>i</t>
    </r>
    <r>
      <rPr>
        <vertAlign val="subscript"/>
        <sz val="12"/>
        <rFont val="Arial"/>
        <family val="2"/>
      </rPr>
      <t>Charge_NHx</t>
    </r>
  </si>
  <si>
    <r>
      <t>μ</t>
    </r>
    <r>
      <rPr>
        <vertAlign val="subscript"/>
        <sz val="12"/>
        <color indexed="8"/>
        <rFont val="Arial"/>
        <family val="2"/>
      </rPr>
      <t>H</t>
    </r>
    <r>
      <rPr>
        <sz val="12"/>
        <color indexed="8"/>
        <rFont val="Arial"/>
        <family val="2"/>
      </rPr>
      <t>*[</t>
    </r>
    <r>
      <rPr>
        <i/>
        <sz val="12"/>
        <color indexed="8"/>
        <rFont val="Arial"/>
        <family val="2"/>
      </rPr>
      <t>S</t>
    </r>
    <r>
      <rPr>
        <vertAlign val="subscript"/>
        <sz val="12"/>
        <color indexed="8"/>
        <rFont val="Arial"/>
        <family val="2"/>
      </rPr>
      <t>S</t>
    </r>
    <r>
      <rPr>
        <sz val="12"/>
        <color indexed="8"/>
        <rFont val="Arial"/>
        <family val="2"/>
      </rPr>
      <t>/(</t>
    </r>
    <r>
      <rPr>
        <i/>
        <sz val="12"/>
        <color indexed="8"/>
        <rFont val="Arial"/>
        <family val="2"/>
      </rPr>
      <t>K</t>
    </r>
    <r>
      <rPr>
        <vertAlign val="subscript"/>
        <sz val="12"/>
        <color indexed="8"/>
        <rFont val="Arial"/>
        <family val="2"/>
      </rPr>
      <t>S</t>
    </r>
    <r>
      <rPr>
        <sz val="12"/>
        <color indexed="8"/>
        <rFont val="Arial"/>
        <family val="2"/>
      </rPr>
      <t>+</t>
    </r>
    <r>
      <rPr>
        <i/>
        <sz val="12"/>
        <color indexed="8"/>
        <rFont val="Arial"/>
        <family val="2"/>
      </rPr>
      <t>S</t>
    </r>
    <r>
      <rPr>
        <vertAlign val="subscript"/>
        <sz val="12"/>
        <color indexed="8"/>
        <rFont val="Arial"/>
        <family val="2"/>
      </rPr>
      <t>S</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i/>
        <sz val="12"/>
        <color indexed="8"/>
        <rFont val="Arial"/>
        <family val="2"/>
      </rPr>
      <t>K</t>
    </r>
    <r>
      <rPr>
        <vertAlign val="subscript"/>
        <sz val="12"/>
        <color indexed="8"/>
        <rFont val="Arial"/>
        <family val="2"/>
      </rPr>
      <t>O,H</t>
    </r>
    <r>
      <rPr>
        <sz val="12"/>
        <color indexed="8"/>
        <rFont val="Arial"/>
        <family val="2"/>
      </rPr>
      <t>+</t>
    </r>
    <r>
      <rPr>
        <i/>
        <sz val="12"/>
        <color indexed="8"/>
        <rFont val="Arial"/>
        <family val="2"/>
      </rPr>
      <t>S</t>
    </r>
    <r>
      <rPr>
        <vertAlign val="subscript"/>
        <sz val="12"/>
        <color indexed="8"/>
        <rFont val="Arial"/>
        <family val="2"/>
      </rPr>
      <t>O</t>
    </r>
    <r>
      <rPr>
        <sz val="12"/>
        <color indexed="8"/>
        <rFont val="Arial"/>
        <family val="2"/>
      </rPr>
      <t>)]*</t>
    </r>
    <r>
      <rPr>
        <sz val="12"/>
        <color indexed="10"/>
        <rFont val="Arial"/>
        <family val="2"/>
      </rPr>
      <t>[</t>
    </r>
    <r>
      <rPr>
        <i/>
        <sz val="12"/>
        <color indexed="10"/>
        <rFont val="Arial"/>
        <family val="2"/>
      </rPr>
      <t>S</t>
    </r>
    <r>
      <rPr>
        <vertAlign val="subscript"/>
        <sz val="12"/>
        <color indexed="10"/>
        <rFont val="Arial"/>
        <family val="2"/>
      </rPr>
      <t>NH</t>
    </r>
    <r>
      <rPr>
        <sz val="12"/>
        <color indexed="10"/>
        <rFont val="Arial"/>
        <family val="2"/>
      </rPr>
      <t>/(</t>
    </r>
    <r>
      <rPr>
        <i/>
        <sz val="12"/>
        <color indexed="10"/>
        <rFont val="Arial"/>
        <family val="2"/>
      </rPr>
      <t>K</t>
    </r>
    <r>
      <rPr>
        <vertAlign val="subscript"/>
        <sz val="12"/>
        <color indexed="10"/>
        <rFont val="Arial"/>
        <family val="2"/>
      </rPr>
      <t>NH,H</t>
    </r>
    <r>
      <rPr>
        <sz val="12"/>
        <color indexed="10"/>
        <rFont val="Arial"/>
        <family val="2"/>
      </rPr>
      <t>+</t>
    </r>
    <r>
      <rPr>
        <i/>
        <sz val="12"/>
        <color indexed="10"/>
        <rFont val="Arial"/>
        <family val="2"/>
      </rPr>
      <t>S</t>
    </r>
    <r>
      <rPr>
        <vertAlign val="subscript"/>
        <sz val="12"/>
        <color indexed="10"/>
        <rFont val="Arial"/>
        <family val="2"/>
      </rPr>
      <t>NH</t>
    </r>
    <r>
      <rPr>
        <sz val="12"/>
        <color indexed="10"/>
        <rFont val="Arial"/>
        <family val="2"/>
      </rPr>
      <t>)]</t>
    </r>
    <r>
      <rPr>
        <sz val="12"/>
        <color indexed="8"/>
        <rFont val="Arial"/>
        <family val="2"/>
      </rPr>
      <t>*</t>
    </r>
    <r>
      <rPr>
        <i/>
        <sz val="12"/>
        <color indexed="8"/>
        <rFont val="Arial"/>
        <family val="2"/>
      </rPr>
      <t>X</t>
    </r>
    <r>
      <rPr>
        <vertAlign val="subscript"/>
        <sz val="12"/>
        <color indexed="8"/>
        <rFont val="Arial"/>
        <family val="2"/>
      </rPr>
      <t>B,H</t>
    </r>
  </si>
  <si>
    <r>
      <t>Y</t>
    </r>
    <r>
      <rPr>
        <vertAlign val="subscript"/>
        <sz val="12"/>
        <rFont val="Arial"/>
        <family val="2"/>
      </rPr>
      <t>PHAO</t>
    </r>
  </si>
  <si>
    <r>
      <t>Y</t>
    </r>
    <r>
      <rPr>
        <vertAlign val="subscript"/>
        <sz val="11"/>
        <rFont val="Arial"/>
        <family val="2"/>
      </rPr>
      <t>PHA_PAO,Ox</t>
    </r>
  </si>
  <si>
    <t>22</t>
  </si>
  <si>
    <r>
      <t>f</t>
    </r>
    <r>
      <rPr>
        <vertAlign val="subscript"/>
        <sz val="12"/>
        <color indexed="8"/>
        <rFont val="Arial"/>
        <family val="2"/>
      </rPr>
      <t>XI,A</t>
    </r>
  </si>
  <si>
    <r>
      <t>Y</t>
    </r>
    <r>
      <rPr>
        <vertAlign val="subscript"/>
        <sz val="12"/>
        <rFont val="Arial"/>
        <family val="2"/>
      </rPr>
      <t>PHANO</t>
    </r>
  </si>
  <si>
    <r>
      <t>Y</t>
    </r>
    <r>
      <rPr>
        <vertAlign val="subscript"/>
        <sz val="11"/>
        <rFont val="Arial"/>
        <family val="2"/>
      </rPr>
      <t>PHA_PAO,Ax</t>
    </r>
  </si>
  <si>
    <r>
      <t>Y</t>
    </r>
    <r>
      <rPr>
        <vertAlign val="subscript"/>
        <sz val="12"/>
        <rFont val="Arial"/>
        <family val="2"/>
      </rPr>
      <t>PPNO</t>
    </r>
  </si>
  <si>
    <r>
      <t>Y</t>
    </r>
    <r>
      <rPr>
        <vertAlign val="subscript"/>
        <sz val="11"/>
        <rFont val="Arial"/>
        <family val="2"/>
      </rPr>
      <t>PAO_PP,Ax</t>
    </r>
  </si>
  <si>
    <r>
      <t>Y</t>
    </r>
    <r>
      <rPr>
        <vertAlign val="subscript"/>
        <sz val="12"/>
        <rFont val="Arial"/>
        <family val="2"/>
      </rPr>
      <t>PPO</t>
    </r>
  </si>
  <si>
    <r>
      <t>Y</t>
    </r>
    <r>
      <rPr>
        <vertAlign val="subscript"/>
        <sz val="11"/>
        <rFont val="Arial"/>
        <family val="2"/>
      </rPr>
      <t>PAO_PP,Ox</t>
    </r>
  </si>
  <si>
    <r>
      <t>Y</t>
    </r>
    <r>
      <rPr>
        <vertAlign val="subscript"/>
        <sz val="12"/>
        <rFont val="Arial"/>
        <family val="2"/>
      </rPr>
      <t>SAAN</t>
    </r>
  </si>
  <si>
    <r>
      <t>Y</t>
    </r>
    <r>
      <rPr>
        <vertAlign val="subscript"/>
        <sz val="11"/>
        <rFont val="Arial"/>
        <family val="2"/>
      </rPr>
      <t>Ac_PHA,PAO,Ax</t>
    </r>
  </si>
  <si>
    <r>
      <t>Y</t>
    </r>
    <r>
      <rPr>
        <vertAlign val="subscript"/>
        <sz val="12"/>
        <rFont val="Arial"/>
        <family val="2"/>
      </rPr>
      <t>SANO</t>
    </r>
  </si>
  <si>
    <r>
      <t>Y</t>
    </r>
    <r>
      <rPr>
        <vertAlign val="subscript"/>
        <sz val="11"/>
        <rFont val="Arial"/>
        <family val="2"/>
      </rPr>
      <t>Ac_PHA,PAO,An</t>
    </r>
  </si>
  <si>
    <r>
      <t>i</t>
    </r>
    <r>
      <rPr>
        <vertAlign val="subscript"/>
        <sz val="12"/>
        <color indexed="8"/>
        <rFont val="Arial"/>
        <family val="2"/>
      </rPr>
      <t>Charge_XPAO,PP</t>
    </r>
  </si>
  <si>
    <r>
      <t>Y</t>
    </r>
    <r>
      <rPr>
        <vertAlign val="subscript"/>
        <sz val="12"/>
        <rFont val="Arial"/>
        <family val="2"/>
      </rPr>
      <t>POAN</t>
    </r>
  </si>
  <si>
    <r>
      <t>Y</t>
    </r>
    <r>
      <rPr>
        <vertAlign val="subscript"/>
        <sz val="11"/>
        <rFont val="Arial"/>
        <family val="2"/>
      </rPr>
      <t>PP_PHA,PAO,Ax</t>
    </r>
  </si>
  <si>
    <r>
      <t>i</t>
    </r>
    <r>
      <rPr>
        <vertAlign val="subscript"/>
        <sz val="12"/>
        <color indexed="8"/>
        <rFont val="Arial"/>
        <family val="2"/>
      </rPr>
      <t>TSS,PP</t>
    </r>
  </si>
  <si>
    <r>
      <t>i</t>
    </r>
    <r>
      <rPr>
        <vertAlign val="subscript"/>
        <sz val="12"/>
        <color indexed="8"/>
        <rFont val="Arial"/>
        <family val="2"/>
      </rPr>
      <t>TSS,PHA</t>
    </r>
  </si>
  <si>
    <r>
      <t>i</t>
    </r>
    <r>
      <rPr>
        <vertAlign val="subscript"/>
        <sz val="12"/>
        <color indexed="8"/>
        <rFont val="Arial"/>
        <family val="2"/>
      </rPr>
      <t>TSS,GLY</t>
    </r>
  </si>
  <si>
    <r>
      <t>Y</t>
    </r>
    <r>
      <rPr>
        <vertAlign val="subscript"/>
        <sz val="12"/>
        <rFont val="Arial"/>
        <family val="2"/>
      </rPr>
      <t>PONO</t>
    </r>
  </si>
  <si>
    <r>
      <t>Y</t>
    </r>
    <r>
      <rPr>
        <vertAlign val="subscript"/>
        <sz val="11"/>
        <rFont val="Arial"/>
        <family val="2"/>
      </rPr>
      <t>PP_PHA,PAO,An</t>
    </r>
  </si>
  <si>
    <r>
      <t>Y</t>
    </r>
    <r>
      <rPr>
        <vertAlign val="subscript"/>
        <sz val="12"/>
        <rFont val="Arial"/>
        <family val="2"/>
      </rPr>
      <t>GLYNO</t>
    </r>
  </si>
  <si>
    <r>
      <t>Y</t>
    </r>
    <r>
      <rPr>
        <vertAlign val="subscript"/>
        <sz val="11"/>
        <rFont val="Arial"/>
        <family val="2"/>
      </rPr>
      <t>PAO_Gly,Ax</t>
    </r>
  </si>
  <si>
    <r>
      <t>Y</t>
    </r>
    <r>
      <rPr>
        <vertAlign val="subscript"/>
        <sz val="12"/>
        <rFont val="Arial"/>
        <family val="2"/>
      </rPr>
      <t>GLYO</t>
    </r>
  </si>
  <si>
    <r>
      <t>Y</t>
    </r>
    <r>
      <rPr>
        <vertAlign val="subscript"/>
        <sz val="11"/>
        <rFont val="Arial"/>
        <family val="2"/>
      </rPr>
      <t>PAO_Gly,Ox</t>
    </r>
  </si>
  <si>
    <t>ATP produced per NADH or P/O ratio</t>
  </si>
  <si>
    <t>δ</t>
  </si>
  <si>
    <r>
      <t>Y</t>
    </r>
    <r>
      <rPr>
        <vertAlign val="subscript"/>
        <sz val="11"/>
        <rFont val="Arial"/>
        <family val="2"/>
      </rPr>
      <t>NADH_ATP</t>
    </r>
  </si>
  <si>
    <t>Observed biomass ratio TOC over COD</t>
  </si>
  <si>
    <t>α</t>
  </si>
  <si>
    <r>
      <t>i</t>
    </r>
    <r>
      <rPr>
        <vertAlign val="subscript"/>
        <sz val="11"/>
        <rFont val="Arial"/>
        <family val="2"/>
      </rPr>
      <t>TOC_COD</t>
    </r>
  </si>
  <si>
    <r>
      <t>S</t>
    </r>
    <r>
      <rPr>
        <vertAlign val="subscript"/>
        <sz val="12"/>
        <color indexed="8"/>
        <rFont val="Arial"/>
        <family val="2"/>
      </rPr>
      <t>NOx</t>
    </r>
  </si>
  <si>
    <r>
      <t>X</t>
    </r>
    <r>
      <rPr>
        <vertAlign val="subscript"/>
        <sz val="12"/>
        <color indexed="8"/>
        <rFont val="Arial"/>
        <family val="2"/>
      </rPr>
      <t>PAO,Gly</t>
    </r>
  </si>
  <si>
    <r>
      <t>Y</t>
    </r>
    <r>
      <rPr>
        <vertAlign val="subscript"/>
        <sz val="11"/>
        <rFont val="Arial"/>
        <family val="2"/>
      </rPr>
      <t xml:space="preserve">ANO </t>
    </r>
  </si>
  <si>
    <r>
      <t>f</t>
    </r>
    <r>
      <rPr>
        <vertAlign val="subscript"/>
        <sz val="12"/>
        <rFont val="Arial"/>
        <family val="2"/>
      </rPr>
      <t>XI,A</t>
    </r>
  </si>
  <si>
    <r>
      <t>f</t>
    </r>
    <r>
      <rPr>
        <vertAlign val="subscript"/>
        <sz val="11"/>
        <rFont val="Arial"/>
        <family val="2"/>
      </rPr>
      <t>XU_ANO,lys</t>
    </r>
  </si>
  <si>
    <r>
      <t>i</t>
    </r>
    <r>
      <rPr>
        <vertAlign val="subscript"/>
        <sz val="11"/>
        <rFont val="Arial"/>
        <family val="2"/>
      </rPr>
      <t>N_SF</t>
    </r>
  </si>
  <si>
    <r>
      <t>i</t>
    </r>
    <r>
      <rPr>
        <vertAlign val="subscript"/>
        <sz val="11"/>
        <rFont val="Arial"/>
        <family val="2"/>
      </rPr>
      <t>N_SU</t>
    </r>
  </si>
  <si>
    <r>
      <t>i</t>
    </r>
    <r>
      <rPr>
        <vertAlign val="subscript"/>
        <sz val="11"/>
        <rFont val="Arial"/>
        <family val="2"/>
      </rPr>
      <t>N_XU</t>
    </r>
  </si>
  <si>
    <r>
      <t>i</t>
    </r>
    <r>
      <rPr>
        <vertAlign val="subscript"/>
        <sz val="11"/>
        <rFont val="Arial"/>
        <family val="2"/>
      </rPr>
      <t>N_XCB</t>
    </r>
  </si>
  <si>
    <r>
      <t>i</t>
    </r>
    <r>
      <rPr>
        <vertAlign val="subscript"/>
        <sz val="11"/>
        <rFont val="Arial"/>
        <family val="2"/>
      </rPr>
      <t>N_XBio</t>
    </r>
  </si>
  <si>
    <r>
      <t>i</t>
    </r>
    <r>
      <rPr>
        <vertAlign val="subscript"/>
        <sz val="11"/>
        <rFont val="Arial"/>
        <family val="2"/>
      </rPr>
      <t>P_SF</t>
    </r>
  </si>
  <si>
    <r>
      <t>i</t>
    </r>
    <r>
      <rPr>
        <vertAlign val="subscript"/>
        <sz val="11"/>
        <rFont val="Arial"/>
        <family val="2"/>
      </rPr>
      <t>P_SU</t>
    </r>
  </si>
  <si>
    <r>
      <t>f</t>
    </r>
    <r>
      <rPr>
        <vertAlign val="subscript"/>
        <sz val="12"/>
        <color indexed="8"/>
        <rFont val="Arial"/>
        <family val="2"/>
      </rPr>
      <t>XU_OHO,lys</t>
    </r>
  </si>
  <si>
    <r>
      <t>i</t>
    </r>
    <r>
      <rPr>
        <vertAlign val="subscript"/>
        <sz val="11"/>
        <rFont val="Arial"/>
        <family val="2"/>
      </rPr>
      <t>P_XU</t>
    </r>
  </si>
  <si>
    <r>
      <t>Y</t>
    </r>
    <r>
      <rPr>
        <vertAlign val="subscript"/>
        <sz val="12"/>
        <color indexed="8"/>
        <rFont val="Arial"/>
        <family val="2"/>
      </rPr>
      <t>PP_PHA,PAO,Ax</t>
    </r>
  </si>
  <si>
    <r>
      <t>Y</t>
    </r>
    <r>
      <rPr>
        <vertAlign val="subscript"/>
        <sz val="12"/>
        <color indexed="8"/>
        <rFont val="Arial"/>
        <family val="2"/>
      </rPr>
      <t>Ac_PHA,PAO,Ax</t>
    </r>
  </si>
  <si>
    <r>
      <t>i</t>
    </r>
    <r>
      <rPr>
        <vertAlign val="subscript"/>
        <sz val="11"/>
        <rFont val="Arial"/>
        <family val="2"/>
      </rPr>
      <t>P_XCB</t>
    </r>
  </si>
  <si>
    <r>
      <t>i</t>
    </r>
    <r>
      <rPr>
        <vertAlign val="subscript"/>
        <sz val="11"/>
        <rFont val="Arial"/>
        <family val="2"/>
      </rPr>
      <t>P_XBio</t>
    </r>
  </si>
  <si>
    <r>
      <t>Y</t>
    </r>
    <r>
      <rPr>
        <vertAlign val="subscript"/>
        <sz val="12"/>
        <color indexed="8"/>
        <rFont val="Arial"/>
        <family val="2"/>
      </rPr>
      <t>PP_PHA,PAO,An</t>
    </r>
  </si>
  <si>
    <r>
      <t>Y</t>
    </r>
    <r>
      <rPr>
        <vertAlign val="subscript"/>
        <sz val="12"/>
        <color indexed="8"/>
        <rFont val="Arial"/>
        <family val="2"/>
      </rPr>
      <t>Ac_PHA,PAO,An</t>
    </r>
  </si>
  <si>
    <r>
      <t>i</t>
    </r>
    <r>
      <rPr>
        <vertAlign val="subscript"/>
        <sz val="11"/>
        <rFont val="Arial"/>
        <family val="2"/>
      </rPr>
      <t>TSS_XU</t>
    </r>
  </si>
  <si>
    <r>
      <t>i</t>
    </r>
    <r>
      <rPr>
        <vertAlign val="subscript"/>
        <sz val="11"/>
        <rFont val="Arial"/>
        <family val="2"/>
      </rPr>
      <t>TSS_XCB</t>
    </r>
  </si>
  <si>
    <r>
      <t>i</t>
    </r>
    <r>
      <rPr>
        <vertAlign val="subscript"/>
        <sz val="12"/>
        <rFont val="Arial"/>
        <family val="2"/>
      </rPr>
      <t>TSS,PHA</t>
    </r>
  </si>
  <si>
    <r>
      <t>i</t>
    </r>
    <r>
      <rPr>
        <vertAlign val="subscript"/>
        <sz val="11"/>
        <rFont val="Arial"/>
        <family val="2"/>
      </rPr>
      <t>TSS_XPAO,PHA</t>
    </r>
  </si>
  <si>
    <r>
      <t>i</t>
    </r>
    <r>
      <rPr>
        <vertAlign val="subscript"/>
        <sz val="11"/>
        <rFont val="Arial"/>
        <family val="2"/>
      </rPr>
      <t>TSS_XBio</t>
    </r>
  </si>
  <si>
    <r>
      <t>i</t>
    </r>
    <r>
      <rPr>
        <vertAlign val="subscript"/>
        <sz val="12"/>
        <rFont val="Arial"/>
        <family val="2"/>
      </rPr>
      <t>TSS,PP</t>
    </r>
  </si>
  <si>
    <r>
      <t>i</t>
    </r>
    <r>
      <rPr>
        <vertAlign val="subscript"/>
        <sz val="11"/>
        <rFont val="Arial"/>
        <family val="2"/>
      </rPr>
      <t>TSS_XPAO,PP</t>
    </r>
  </si>
  <si>
    <r>
      <t>i</t>
    </r>
    <r>
      <rPr>
        <vertAlign val="subscript"/>
        <sz val="12"/>
        <rFont val="Arial"/>
        <family val="2"/>
      </rPr>
      <t>TSS,GLY</t>
    </r>
  </si>
  <si>
    <r>
      <t>i</t>
    </r>
    <r>
      <rPr>
        <vertAlign val="subscript"/>
        <sz val="11"/>
        <rFont val="Arial"/>
        <family val="2"/>
      </rPr>
      <t>TSS_XPAO,Gly</t>
    </r>
  </si>
  <si>
    <r>
      <t>i</t>
    </r>
    <r>
      <rPr>
        <vertAlign val="subscript"/>
        <sz val="12"/>
        <rFont val="Arial"/>
        <family val="2"/>
      </rPr>
      <t>NO3,N2</t>
    </r>
  </si>
  <si>
    <r>
      <t>i</t>
    </r>
    <r>
      <rPr>
        <vertAlign val="subscript"/>
        <sz val="12"/>
        <rFont val="Arial"/>
        <family val="2"/>
      </rPr>
      <t>COD_NO3</t>
    </r>
  </si>
  <si>
    <r>
      <t>f</t>
    </r>
    <r>
      <rPr>
        <vertAlign val="subscript"/>
        <sz val="12"/>
        <color indexed="8"/>
        <rFont val="Arial"/>
        <family val="2"/>
      </rPr>
      <t>XU_ANO,lys</t>
    </r>
  </si>
  <si>
    <r>
      <t>i</t>
    </r>
    <r>
      <rPr>
        <vertAlign val="subscript"/>
        <sz val="12"/>
        <rFont val="Arial"/>
        <family val="2"/>
      </rPr>
      <t>Charge_NO3</t>
    </r>
  </si>
  <si>
    <t>kinetic</t>
  </si>
  <si>
    <r>
      <t>q</t>
    </r>
    <r>
      <rPr>
        <vertAlign val="subscript"/>
        <sz val="11"/>
        <rFont val="Arial"/>
        <family val="2"/>
      </rPr>
      <t>XCB_SB,hyd</t>
    </r>
  </si>
  <si>
    <r>
      <t>K</t>
    </r>
    <r>
      <rPr>
        <vertAlign val="subscript"/>
        <sz val="11"/>
        <rFont val="Arial"/>
        <family val="2"/>
      </rPr>
      <t>XCB,hyd</t>
    </r>
  </si>
  <si>
    <r>
      <t>i</t>
    </r>
    <r>
      <rPr>
        <vertAlign val="subscript"/>
        <sz val="12"/>
        <color indexed="8"/>
        <rFont val="Arial"/>
        <family val="2"/>
      </rPr>
      <t>TSS_XPAO,Gly</t>
    </r>
  </si>
  <si>
    <r>
      <t>n</t>
    </r>
    <r>
      <rPr>
        <vertAlign val="subscript"/>
        <sz val="11"/>
        <rFont val="Arial"/>
        <family val="2"/>
      </rPr>
      <t>qhyd,Ax</t>
    </r>
  </si>
  <si>
    <r>
      <t>n</t>
    </r>
    <r>
      <rPr>
        <vertAlign val="subscript"/>
        <sz val="11"/>
        <rFont val="Arial"/>
        <family val="2"/>
      </rPr>
      <t>qhyd,An</t>
    </r>
  </si>
  <si>
    <r>
      <t>K</t>
    </r>
    <r>
      <rPr>
        <vertAlign val="subscript"/>
        <sz val="11"/>
        <rFont val="Arial"/>
        <family val="2"/>
      </rPr>
      <t>O2,hyd</t>
    </r>
  </si>
  <si>
    <r>
      <t>K</t>
    </r>
    <r>
      <rPr>
        <vertAlign val="subscript"/>
        <sz val="11"/>
        <rFont val="Arial"/>
        <family val="2"/>
      </rPr>
      <t>NOx,hyd</t>
    </r>
  </si>
  <si>
    <r>
      <t>μ</t>
    </r>
    <r>
      <rPr>
        <vertAlign val="subscript"/>
        <sz val="11"/>
        <rFont val="Arial"/>
        <family val="2"/>
      </rPr>
      <t>OHO,Max</t>
    </r>
  </si>
  <si>
    <r>
      <t>n</t>
    </r>
    <r>
      <rPr>
        <vertAlign val="subscript"/>
        <sz val="11"/>
        <rFont val="Arial"/>
        <family val="2"/>
      </rPr>
      <t>μOHO,Ax</t>
    </r>
  </si>
  <si>
    <r>
      <t>q</t>
    </r>
    <r>
      <rPr>
        <vertAlign val="subscript"/>
        <sz val="11"/>
        <rFont val="Arial"/>
        <family val="2"/>
      </rPr>
      <t>SF_Ac,Max</t>
    </r>
  </si>
  <si>
    <r>
      <t>K</t>
    </r>
    <r>
      <rPr>
        <vertAlign val="subscript"/>
        <sz val="11"/>
        <rFont val="Arial"/>
        <family val="2"/>
      </rPr>
      <t>SF,OHO</t>
    </r>
  </si>
  <si>
    <r>
      <t>K</t>
    </r>
    <r>
      <rPr>
        <vertAlign val="subscript"/>
        <sz val="12"/>
        <rFont val="Arial"/>
        <family val="2"/>
      </rPr>
      <t>Ac</t>
    </r>
  </si>
  <si>
    <r>
      <t>K</t>
    </r>
    <r>
      <rPr>
        <vertAlign val="subscript"/>
        <sz val="11"/>
        <rFont val="Arial"/>
        <family val="2"/>
      </rPr>
      <t>Ac,OHO</t>
    </r>
  </si>
  <si>
    <r>
      <t>m</t>
    </r>
    <r>
      <rPr>
        <vertAlign val="subscript"/>
        <sz val="11"/>
        <rFont val="Arial"/>
        <family val="2"/>
      </rPr>
      <t>OHO</t>
    </r>
  </si>
  <si>
    <r>
      <t>K</t>
    </r>
    <r>
      <rPr>
        <vertAlign val="subscript"/>
        <sz val="11"/>
        <rFont val="Arial"/>
        <family val="2"/>
      </rPr>
      <t>SF,fe</t>
    </r>
  </si>
  <si>
    <r>
      <t>K</t>
    </r>
    <r>
      <rPr>
        <vertAlign val="subscript"/>
        <sz val="11"/>
        <rFont val="Arial"/>
        <family val="2"/>
      </rPr>
      <t>O2,OHO</t>
    </r>
  </si>
  <si>
    <r>
      <t>K</t>
    </r>
    <r>
      <rPr>
        <vertAlign val="subscript"/>
        <sz val="11"/>
        <rFont val="Arial"/>
        <family val="2"/>
      </rPr>
      <t>NOx,OHO</t>
    </r>
  </si>
  <si>
    <r>
      <t>K</t>
    </r>
    <r>
      <rPr>
        <vertAlign val="subscript"/>
        <sz val="11"/>
        <rFont val="Arial"/>
        <family val="2"/>
      </rPr>
      <t>NHx,OHO</t>
    </r>
  </si>
  <si>
    <r>
      <t>K</t>
    </r>
    <r>
      <rPr>
        <vertAlign val="subscript"/>
        <sz val="11"/>
        <rFont val="Arial"/>
        <family val="2"/>
      </rPr>
      <t>PO4,OHO</t>
    </r>
  </si>
  <si>
    <r>
      <t>K</t>
    </r>
    <r>
      <rPr>
        <vertAlign val="subscript"/>
        <sz val="11"/>
        <rFont val="Arial"/>
        <family val="2"/>
      </rPr>
      <t>Alk,OHO</t>
    </r>
  </si>
  <si>
    <r>
      <t>q</t>
    </r>
    <r>
      <rPr>
        <vertAlign val="subscript"/>
        <sz val="12"/>
        <rFont val="Arial"/>
        <family val="2"/>
      </rPr>
      <t>Ac</t>
    </r>
  </si>
  <si>
    <r>
      <t>q</t>
    </r>
    <r>
      <rPr>
        <vertAlign val="subscript"/>
        <sz val="11"/>
        <rFont val="Arial"/>
        <family val="2"/>
      </rPr>
      <t>PAO,Ac_PHA,An</t>
    </r>
  </si>
  <si>
    <r>
      <t>X</t>
    </r>
    <r>
      <rPr>
        <vertAlign val="subscript"/>
        <sz val="12"/>
        <color indexed="8"/>
        <rFont val="Arial"/>
        <family val="2"/>
      </rPr>
      <t>s</t>
    </r>
  </si>
  <si>
    <r>
      <t>q</t>
    </r>
    <r>
      <rPr>
        <vertAlign val="subscript"/>
        <sz val="12"/>
        <rFont val="Arial"/>
        <family val="2"/>
      </rPr>
      <t>AcNO</t>
    </r>
  </si>
  <si>
    <r>
      <t>q</t>
    </r>
    <r>
      <rPr>
        <vertAlign val="subscript"/>
        <sz val="11"/>
        <rFont val="Arial"/>
        <family val="2"/>
      </rPr>
      <t>PAO,Ac_PHA,Ax</t>
    </r>
  </si>
  <si>
    <r>
      <t>k</t>
    </r>
    <r>
      <rPr>
        <vertAlign val="subscript"/>
        <sz val="12"/>
        <rFont val="Arial"/>
        <family val="2"/>
      </rPr>
      <t>PP</t>
    </r>
  </si>
  <si>
    <r>
      <t>q</t>
    </r>
    <r>
      <rPr>
        <vertAlign val="subscript"/>
        <sz val="11"/>
        <rFont val="Arial"/>
        <family val="2"/>
      </rPr>
      <t>PAO,PO4_PP</t>
    </r>
  </si>
  <si>
    <r>
      <t>g</t>
    </r>
    <r>
      <rPr>
        <vertAlign val="subscript"/>
        <sz val="12"/>
        <rFont val="Arial"/>
        <family val="2"/>
      </rPr>
      <t>PP</t>
    </r>
  </si>
  <si>
    <r>
      <t>n</t>
    </r>
    <r>
      <rPr>
        <vertAlign val="subscript"/>
        <sz val="11"/>
        <rFont val="Arial"/>
        <family val="2"/>
      </rPr>
      <t>KO2</t>
    </r>
  </si>
  <si>
    <r>
      <t>n</t>
    </r>
    <r>
      <rPr>
        <vertAlign val="subscript"/>
        <sz val="11"/>
        <rFont val="Arial"/>
        <family val="2"/>
      </rPr>
      <t>KNOx</t>
    </r>
  </si>
  <si>
    <r>
      <t>f</t>
    </r>
    <r>
      <rPr>
        <vertAlign val="subscript"/>
        <sz val="12"/>
        <rFont val="Arial"/>
        <family val="2"/>
      </rPr>
      <t>PPmax</t>
    </r>
  </si>
  <si>
    <r>
      <t>f</t>
    </r>
    <r>
      <rPr>
        <vertAlign val="subscript"/>
        <sz val="11"/>
        <rFont val="Arial"/>
        <family val="2"/>
      </rPr>
      <t>PP_PAO,Max</t>
    </r>
  </si>
  <si>
    <r>
      <t>K</t>
    </r>
    <r>
      <rPr>
        <vertAlign val="subscript"/>
        <sz val="12"/>
        <rFont val="Arial"/>
        <family val="2"/>
      </rPr>
      <t>fPP</t>
    </r>
  </si>
  <si>
    <r>
      <t>K</t>
    </r>
    <r>
      <rPr>
        <vertAlign val="subscript"/>
        <sz val="11"/>
        <rFont val="Arial"/>
        <family val="2"/>
      </rPr>
      <t>I,fPP_PAO</t>
    </r>
  </si>
  <si>
    <r>
      <t>k</t>
    </r>
    <r>
      <rPr>
        <vertAlign val="subscript"/>
        <sz val="12"/>
        <rFont val="Arial"/>
        <family val="2"/>
      </rPr>
      <t>GLY</t>
    </r>
  </si>
  <si>
    <r>
      <t>q</t>
    </r>
    <r>
      <rPr>
        <vertAlign val="subscript"/>
        <sz val="11"/>
        <rFont val="Arial"/>
        <family val="2"/>
      </rPr>
      <t>Gly</t>
    </r>
  </si>
  <si>
    <r>
      <t>f</t>
    </r>
    <r>
      <rPr>
        <vertAlign val="subscript"/>
        <sz val="12"/>
        <rFont val="Arial"/>
        <family val="2"/>
      </rPr>
      <t>GLYmax</t>
    </r>
  </si>
  <si>
    <r>
      <t>f</t>
    </r>
    <r>
      <rPr>
        <vertAlign val="subscript"/>
        <sz val="11"/>
        <rFont val="Arial"/>
        <family val="2"/>
      </rPr>
      <t>Gly_PAO,Max</t>
    </r>
  </si>
  <si>
    <r>
      <t>K</t>
    </r>
    <r>
      <rPr>
        <vertAlign val="subscript"/>
        <sz val="12"/>
        <rFont val="Arial"/>
        <family val="2"/>
      </rPr>
      <t>fGLY</t>
    </r>
  </si>
  <si>
    <r>
      <t>K</t>
    </r>
    <r>
      <rPr>
        <vertAlign val="subscript"/>
        <sz val="11"/>
        <rFont val="Arial"/>
        <family val="2"/>
      </rPr>
      <t>fGly_PAO</t>
    </r>
  </si>
  <si>
    <r>
      <t>K</t>
    </r>
    <r>
      <rPr>
        <vertAlign val="subscript"/>
        <sz val="12"/>
        <rFont val="Arial"/>
        <family val="2"/>
      </rPr>
      <t>fPHA</t>
    </r>
  </si>
  <si>
    <r>
      <t>K</t>
    </r>
    <r>
      <rPr>
        <vertAlign val="subscript"/>
        <sz val="11"/>
        <rFont val="Arial"/>
        <family val="2"/>
      </rPr>
      <t>fPHA_PAO</t>
    </r>
  </si>
  <si>
    <r>
      <t>k</t>
    </r>
    <r>
      <rPr>
        <vertAlign val="subscript"/>
        <sz val="12"/>
        <rFont val="Arial"/>
        <family val="2"/>
      </rPr>
      <t>PHA</t>
    </r>
  </si>
  <si>
    <r>
      <t>q</t>
    </r>
    <r>
      <rPr>
        <vertAlign val="subscript"/>
        <sz val="11"/>
        <rFont val="Arial"/>
        <family val="2"/>
      </rPr>
      <t>PHA_PAO</t>
    </r>
  </si>
  <si>
    <t>Reduction factor for denitrifying processes</t>
  </si>
  <si>
    <r>
      <t>n</t>
    </r>
    <r>
      <rPr>
        <vertAlign val="subscript"/>
        <sz val="11"/>
        <rFont val="Arial"/>
        <family val="2"/>
      </rPr>
      <t>qPAO</t>
    </r>
  </si>
  <si>
    <t>Observed oxygen consumption for maintenance</t>
  </si>
  <si>
    <r>
      <t>m</t>
    </r>
    <r>
      <rPr>
        <vertAlign val="subscript"/>
        <sz val="12"/>
        <rFont val="Arial"/>
        <family val="2"/>
      </rPr>
      <t>OC</t>
    </r>
  </si>
  <si>
    <r>
      <t>m</t>
    </r>
    <r>
      <rPr>
        <vertAlign val="subscript"/>
        <sz val="11"/>
        <rFont val="Arial"/>
        <family val="2"/>
      </rPr>
      <t>PAO,O2</t>
    </r>
  </si>
  <si>
    <r>
      <t>m</t>
    </r>
    <r>
      <rPr>
        <vertAlign val="subscript"/>
        <sz val="12"/>
        <rFont val="Arial"/>
        <family val="2"/>
      </rPr>
      <t>O</t>
    </r>
  </si>
  <si>
    <r>
      <t>m</t>
    </r>
    <r>
      <rPr>
        <vertAlign val="subscript"/>
        <sz val="11"/>
        <rFont val="Arial"/>
        <family val="2"/>
      </rPr>
      <t>PAO,Ox</t>
    </r>
  </si>
  <si>
    <r>
      <t>m</t>
    </r>
    <r>
      <rPr>
        <vertAlign val="subscript"/>
        <sz val="12"/>
        <rFont val="Arial"/>
        <family val="2"/>
      </rPr>
      <t>NO</t>
    </r>
  </si>
  <si>
    <r>
      <t>m</t>
    </r>
    <r>
      <rPr>
        <vertAlign val="subscript"/>
        <sz val="11"/>
        <rFont val="Arial"/>
        <family val="2"/>
      </rPr>
      <t>PAO,Ax</t>
    </r>
  </si>
  <si>
    <r>
      <t>m</t>
    </r>
    <r>
      <rPr>
        <vertAlign val="subscript"/>
        <sz val="12"/>
        <rFont val="Arial"/>
        <family val="2"/>
      </rPr>
      <t>AN</t>
    </r>
  </si>
  <si>
    <r>
      <t>m</t>
    </r>
    <r>
      <rPr>
        <vertAlign val="subscript"/>
        <sz val="11"/>
        <rFont val="Arial"/>
        <family val="2"/>
      </rPr>
      <t>PAO,An</t>
    </r>
  </si>
  <si>
    <r>
      <t>K</t>
    </r>
    <r>
      <rPr>
        <vertAlign val="subscript"/>
        <sz val="11"/>
        <rFont val="Arial"/>
        <family val="2"/>
      </rPr>
      <t>Ac,PAO</t>
    </r>
  </si>
  <si>
    <r>
      <t>K</t>
    </r>
    <r>
      <rPr>
        <vertAlign val="subscript"/>
        <sz val="11"/>
        <rFont val="Arial"/>
        <family val="2"/>
      </rPr>
      <t>O2,PAO</t>
    </r>
  </si>
  <si>
    <r>
      <t>K</t>
    </r>
    <r>
      <rPr>
        <vertAlign val="subscript"/>
        <sz val="11"/>
        <rFont val="Arial"/>
        <family val="2"/>
      </rPr>
      <t>NOx,PAO</t>
    </r>
  </si>
  <si>
    <r>
      <t>K</t>
    </r>
    <r>
      <rPr>
        <vertAlign val="subscript"/>
        <sz val="11"/>
        <rFont val="Arial"/>
        <family val="2"/>
      </rPr>
      <t>NHx,PAO</t>
    </r>
  </si>
  <si>
    <r>
      <t>K</t>
    </r>
    <r>
      <rPr>
        <vertAlign val="subscript"/>
        <sz val="12"/>
        <rFont val="Arial"/>
        <family val="2"/>
      </rPr>
      <t>PO</t>
    </r>
  </si>
  <si>
    <r>
      <t>K</t>
    </r>
    <r>
      <rPr>
        <vertAlign val="subscript"/>
        <sz val="11"/>
        <rFont val="Arial"/>
        <family val="2"/>
      </rPr>
      <t>PO4,PAO,upt</t>
    </r>
  </si>
  <si>
    <r>
      <t>K</t>
    </r>
    <r>
      <rPr>
        <vertAlign val="subscript"/>
        <sz val="11"/>
        <rFont val="Arial"/>
        <family val="2"/>
      </rPr>
      <t>PO4,PAO,nut</t>
    </r>
  </si>
  <si>
    <r>
      <t>K</t>
    </r>
    <r>
      <rPr>
        <vertAlign val="subscript"/>
        <sz val="11"/>
        <rFont val="Arial"/>
        <family val="2"/>
      </rPr>
      <t>PP,PAO</t>
    </r>
  </si>
  <si>
    <r>
      <t>K</t>
    </r>
    <r>
      <rPr>
        <vertAlign val="subscript"/>
        <sz val="11"/>
        <rFont val="Arial"/>
        <family val="2"/>
      </rPr>
      <t>PHA,PAO</t>
    </r>
  </si>
  <si>
    <r>
      <t>K</t>
    </r>
    <r>
      <rPr>
        <vertAlign val="subscript"/>
        <sz val="12"/>
        <rFont val="Arial"/>
        <family val="2"/>
      </rPr>
      <t>GLY</t>
    </r>
  </si>
  <si>
    <r>
      <t>K</t>
    </r>
    <r>
      <rPr>
        <vertAlign val="subscript"/>
        <sz val="11"/>
        <rFont val="Arial"/>
        <family val="2"/>
      </rPr>
      <t>Gly,PAO</t>
    </r>
  </si>
  <si>
    <r>
      <t>K</t>
    </r>
    <r>
      <rPr>
        <vertAlign val="subscript"/>
        <sz val="11"/>
        <rFont val="Arial"/>
        <family val="2"/>
      </rPr>
      <t>Alk,PAO</t>
    </r>
  </si>
  <si>
    <r>
      <t>μ</t>
    </r>
    <r>
      <rPr>
        <vertAlign val="subscript"/>
        <sz val="11"/>
        <rFont val="Arial"/>
        <family val="2"/>
      </rPr>
      <t>ANO,Max</t>
    </r>
  </si>
  <si>
    <r>
      <t>b</t>
    </r>
    <r>
      <rPr>
        <vertAlign val="subscript"/>
        <sz val="11"/>
        <rFont val="Arial"/>
        <family val="2"/>
      </rPr>
      <t>ANO</t>
    </r>
  </si>
  <si>
    <r>
      <t>K</t>
    </r>
    <r>
      <rPr>
        <vertAlign val="subscript"/>
        <sz val="11"/>
        <rFont val="Arial"/>
        <family val="2"/>
      </rPr>
      <t>O2,ANO</t>
    </r>
  </si>
  <si>
    <r>
      <t>K</t>
    </r>
    <r>
      <rPr>
        <vertAlign val="subscript"/>
        <sz val="11"/>
        <rFont val="Arial"/>
        <family val="2"/>
      </rPr>
      <t>NHx,ANO</t>
    </r>
  </si>
  <si>
    <r>
      <t>K</t>
    </r>
    <r>
      <rPr>
        <vertAlign val="subscript"/>
        <sz val="11"/>
        <rFont val="Arial"/>
        <family val="2"/>
      </rPr>
      <t>PO4,ANO</t>
    </r>
  </si>
  <si>
    <r>
      <t>K</t>
    </r>
    <r>
      <rPr>
        <vertAlign val="subscript"/>
        <sz val="11"/>
        <rFont val="Arial"/>
        <family val="2"/>
      </rPr>
      <t>Alk,ANO</t>
    </r>
  </si>
  <si>
    <t>SO2</t>
  </si>
  <si>
    <t>SF</t>
  </si>
  <si>
    <t>SA</t>
  </si>
  <si>
    <t>SNH</t>
  </si>
  <si>
    <t>SNO</t>
  </si>
  <si>
    <t>SN2</t>
  </si>
  <si>
    <t>SPO</t>
  </si>
  <si>
    <t>SI</t>
  </si>
  <si>
    <t>SHCO</t>
  </si>
  <si>
    <t>Xi</t>
  </si>
  <si>
    <t>Xs</t>
  </si>
  <si>
    <t>XH</t>
  </si>
  <si>
    <t>XPAO</t>
  </si>
  <si>
    <t>XPP</t>
  </si>
  <si>
    <t>XPHA</t>
  </si>
  <si>
    <t>XGLY</t>
  </si>
  <si>
    <t>XA</t>
  </si>
  <si>
    <t>XTSS</t>
  </si>
  <si>
    <t>Anaerobic Storage of SA</t>
  </si>
  <si>
    <t>Anoxic storage of SA</t>
  </si>
  <si>
    <t>New General</t>
  </si>
  <si>
    <t>Barker P.S. and Dold, P.L. (1997). General model for biological nutrient removal activated-sludge systems: model presentation, Wat. Env. Res., 69 (5), 969-984.</t>
  </si>
  <si>
    <t>* Barker P.S. and Dold, P.L. (1997). General model for biological nutrient removal activated-sludge systems: model presentation, Wat. Env. Res., 69 (5), 969-984.</t>
  </si>
  <si>
    <r>
      <t>Z</t>
    </r>
    <r>
      <rPr>
        <vertAlign val="subscript"/>
        <sz val="12"/>
        <color indexed="8"/>
        <rFont val="Arial"/>
        <family val="2"/>
      </rPr>
      <t>H</t>
    </r>
  </si>
  <si>
    <r>
      <t>Z</t>
    </r>
    <r>
      <rPr>
        <vertAlign val="subscript"/>
        <sz val="12"/>
        <color indexed="8"/>
        <rFont val="Arial"/>
        <family val="2"/>
      </rPr>
      <t>A</t>
    </r>
  </si>
  <si>
    <r>
      <t>Z</t>
    </r>
    <r>
      <rPr>
        <vertAlign val="subscript"/>
        <sz val="12"/>
        <color indexed="8"/>
        <rFont val="Arial"/>
        <family val="2"/>
      </rPr>
      <t>P</t>
    </r>
  </si>
  <si>
    <r>
      <t>Z</t>
    </r>
    <r>
      <rPr>
        <vertAlign val="subscript"/>
        <sz val="12"/>
        <color indexed="8"/>
        <rFont val="Arial"/>
        <family val="2"/>
      </rPr>
      <t>E</t>
    </r>
  </si>
  <si>
    <r>
      <t>S</t>
    </r>
    <r>
      <rPr>
        <vertAlign val="subscript"/>
        <sz val="12"/>
        <color indexed="8"/>
        <rFont val="Arial"/>
        <family val="2"/>
      </rPr>
      <t>EMM</t>
    </r>
  </si>
  <si>
    <r>
      <t>S</t>
    </r>
    <r>
      <rPr>
        <vertAlign val="subscript"/>
        <sz val="12"/>
        <color indexed="8"/>
        <rFont val="Arial"/>
        <family val="2"/>
      </rPr>
      <t>BSC</t>
    </r>
  </si>
  <si>
    <r>
      <t>S</t>
    </r>
    <r>
      <rPr>
        <vertAlign val="subscript"/>
        <sz val="12"/>
        <color indexed="8"/>
        <rFont val="Arial"/>
        <family val="2"/>
      </rPr>
      <t>BSA</t>
    </r>
  </si>
  <si>
    <r>
      <t>S</t>
    </r>
    <r>
      <rPr>
        <vertAlign val="subscript"/>
        <sz val="12"/>
        <color indexed="8"/>
        <rFont val="Arial"/>
        <family val="2"/>
      </rPr>
      <t>PHB</t>
    </r>
  </si>
  <si>
    <r>
      <t>S</t>
    </r>
    <r>
      <rPr>
        <vertAlign val="subscript"/>
        <sz val="12"/>
        <color indexed="8"/>
        <rFont val="Arial"/>
        <family val="2"/>
      </rPr>
      <t>UP</t>
    </r>
  </si>
  <si>
    <r>
      <t>S</t>
    </r>
    <r>
      <rPr>
        <vertAlign val="subscript"/>
        <sz val="12"/>
        <color indexed="8"/>
        <rFont val="Arial"/>
        <family val="2"/>
      </rPr>
      <t>US</t>
    </r>
  </si>
  <si>
    <r>
      <t>P</t>
    </r>
    <r>
      <rPr>
        <vertAlign val="subscript"/>
        <sz val="12"/>
        <color indexed="8"/>
        <rFont val="Arial"/>
        <family val="2"/>
      </rPr>
      <t>PP,LO</t>
    </r>
  </si>
  <si>
    <r>
      <t>P</t>
    </r>
    <r>
      <rPr>
        <vertAlign val="subscript"/>
        <sz val="12"/>
        <color indexed="8"/>
        <rFont val="Arial"/>
        <family val="2"/>
      </rPr>
      <t>PP,HI</t>
    </r>
  </si>
  <si>
    <r>
      <t>P</t>
    </r>
    <r>
      <rPr>
        <vertAlign val="subscript"/>
        <sz val="12"/>
        <color indexed="8"/>
        <rFont val="Arial"/>
        <family val="2"/>
      </rPr>
      <t>O4</t>
    </r>
  </si>
  <si>
    <r>
      <t>N</t>
    </r>
    <r>
      <rPr>
        <vertAlign val="subscript"/>
        <sz val="12"/>
        <color indexed="8"/>
        <rFont val="Arial"/>
        <family val="2"/>
      </rPr>
      <t>BP</t>
    </r>
  </si>
  <si>
    <r>
      <t>N</t>
    </r>
    <r>
      <rPr>
        <vertAlign val="subscript"/>
        <sz val="12"/>
        <color indexed="8"/>
        <rFont val="Arial"/>
        <family val="2"/>
      </rPr>
      <t>BS</t>
    </r>
  </si>
  <si>
    <r>
      <t>N</t>
    </r>
    <r>
      <rPr>
        <vertAlign val="subscript"/>
        <sz val="12"/>
        <color indexed="8"/>
        <rFont val="Arial"/>
        <family val="2"/>
      </rPr>
      <t>O3</t>
    </r>
  </si>
  <si>
    <r>
      <t>N</t>
    </r>
    <r>
      <rPr>
        <vertAlign val="subscript"/>
        <sz val="12"/>
        <color indexed="8"/>
        <rFont val="Arial"/>
        <family val="2"/>
      </rPr>
      <t>H3</t>
    </r>
  </si>
  <si>
    <r>
      <t>N</t>
    </r>
    <r>
      <rPr>
        <vertAlign val="subscript"/>
        <sz val="12"/>
        <color indexed="8"/>
        <rFont val="Arial"/>
        <family val="2"/>
      </rPr>
      <t>US</t>
    </r>
  </si>
  <si>
    <r>
      <t>S</t>
    </r>
    <r>
      <rPr>
        <vertAlign val="subscript"/>
        <sz val="12"/>
        <color indexed="10"/>
        <rFont val="Arial"/>
        <family val="2"/>
      </rPr>
      <t>H2</t>
    </r>
  </si>
  <si>
    <r>
      <t>S</t>
    </r>
    <r>
      <rPr>
        <vertAlign val="subscript"/>
        <sz val="12"/>
        <rFont val="Arial"/>
        <family val="2"/>
      </rPr>
      <t>BSC</t>
    </r>
  </si>
  <si>
    <r>
      <t>S</t>
    </r>
    <r>
      <rPr>
        <vertAlign val="subscript"/>
        <sz val="12"/>
        <rFont val="Arial"/>
        <family val="2"/>
      </rPr>
      <t>BSA</t>
    </r>
  </si>
  <si>
    <r>
      <t>S</t>
    </r>
    <r>
      <rPr>
        <vertAlign val="subscript"/>
        <sz val="12"/>
        <rFont val="Arial"/>
        <family val="2"/>
      </rPr>
      <t>US</t>
    </r>
  </si>
  <si>
    <t>Enmeshed slowly biodegradable substrate</t>
  </si>
  <si>
    <r>
      <t>S</t>
    </r>
    <r>
      <rPr>
        <vertAlign val="subscript"/>
        <sz val="12"/>
        <rFont val="Arial"/>
        <family val="2"/>
      </rPr>
      <t>ENM</t>
    </r>
  </si>
  <si>
    <r>
      <t>S</t>
    </r>
    <r>
      <rPr>
        <vertAlign val="subscript"/>
        <sz val="12"/>
        <rFont val="Arial"/>
        <family val="2"/>
      </rPr>
      <t>UP</t>
    </r>
  </si>
  <si>
    <r>
      <t>Z</t>
    </r>
    <r>
      <rPr>
        <vertAlign val="subscript"/>
        <sz val="12"/>
        <rFont val="Arial"/>
        <family val="2"/>
      </rPr>
      <t>E</t>
    </r>
  </si>
  <si>
    <r>
      <t>N</t>
    </r>
    <r>
      <rPr>
        <vertAlign val="subscript"/>
        <sz val="12"/>
        <rFont val="Arial"/>
        <family val="2"/>
      </rPr>
      <t>H3</t>
    </r>
  </si>
  <si>
    <r>
      <t>N</t>
    </r>
    <r>
      <rPr>
        <vertAlign val="subscript"/>
        <sz val="12"/>
        <rFont val="Arial"/>
        <family val="2"/>
      </rPr>
      <t>O3</t>
    </r>
  </si>
  <si>
    <r>
      <t>f</t>
    </r>
    <r>
      <rPr>
        <vertAlign val="subscript"/>
        <sz val="12"/>
        <color indexed="8"/>
        <rFont val="Arial"/>
        <family val="2"/>
      </rPr>
      <t>EP,H</t>
    </r>
  </si>
  <si>
    <r>
      <t>N</t>
    </r>
    <r>
      <rPr>
        <vertAlign val="subscript"/>
        <sz val="12"/>
        <rFont val="Arial"/>
        <family val="2"/>
      </rPr>
      <t>BP</t>
    </r>
  </si>
  <si>
    <r>
      <t>N</t>
    </r>
    <r>
      <rPr>
        <vertAlign val="subscript"/>
        <sz val="12"/>
        <rFont val="Arial"/>
        <family val="2"/>
      </rPr>
      <t>BS</t>
    </r>
  </si>
  <si>
    <r>
      <t>E</t>
    </r>
    <r>
      <rPr>
        <vertAlign val="subscript"/>
        <sz val="12"/>
        <color indexed="8"/>
        <rFont val="Arial"/>
        <family val="2"/>
      </rPr>
      <t>ANOX</t>
    </r>
  </si>
  <si>
    <t>Soluble inert organic N</t>
  </si>
  <si>
    <r>
      <t>N</t>
    </r>
    <r>
      <rPr>
        <vertAlign val="subscript"/>
        <sz val="12"/>
        <rFont val="Arial"/>
        <family val="2"/>
      </rPr>
      <t>US</t>
    </r>
  </si>
  <si>
    <r>
      <t>S</t>
    </r>
    <r>
      <rPr>
        <vertAlign val="subscript"/>
        <sz val="12"/>
        <rFont val="Arial"/>
        <family val="2"/>
      </rPr>
      <t>U,N</t>
    </r>
  </si>
  <si>
    <r>
      <t>E</t>
    </r>
    <r>
      <rPr>
        <vertAlign val="subscript"/>
        <sz val="12"/>
        <color indexed="8"/>
        <rFont val="Arial"/>
        <family val="2"/>
      </rPr>
      <t>ANA</t>
    </r>
  </si>
  <si>
    <r>
      <t>P</t>
    </r>
    <r>
      <rPr>
        <vertAlign val="subscript"/>
        <sz val="12"/>
        <rFont val="Arial"/>
        <family val="2"/>
      </rPr>
      <t>O4</t>
    </r>
  </si>
  <si>
    <t>Hydrolysis of organic N</t>
  </si>
  <si>
    <r>
      <t>Z</t>
    </r>
    <r>
      <rPr>
        <vertAlign val="subscript"/>
        <sz val="12"/>
        <rFont val="Arial"/>
        <family val="2"/>
      </rPr>
      <t>H</t>
    </r>
  </si>
  <si>
    <t>Ammonification</t>
  </si>
  <si>
    <r>
      <t>Z</t>
    </r>
    <r>
      <rPr>
        <vertAlign val="subscript"/>
        <sz val="12"/>
        <rFont val="Arial"/>
        <family val="2"/>
      </rPr>
      <t>A</t>
    </r>
  </si>
  <si>
    <r>
      <t>Y</t>
    </r>
    <r>
      <rPr>
        <vertAlign val="subscript"/>
        <sz val="12"/>
        <color indexed="8"/>
        <rFont val="Arial"/>
        <family val="2"/>
      </rPr>
      <t>H,ANA</t>
    </r>
  </si>
  <si>
    <r>
      <t>Z</t>
    </r>
    <r>
      <rPr>
        <vertAlign val="subscript"/>
        <sz val="12"/>
        <rFont val="Arial"/>
        <family val="2"/>
      </rPr>
      <t>P</t>
    </r>
  </si>
  <si>
    <r>
      <t>S</t>
    </r>
    <r>
      <rPr>
        <vertAlign val="subscript"/>
        <sz val="12"/>
        <rFont val="Arial"/>
        <family val="2"/>
      </rPr>
      <t>PHB</t>
    </r>
  </si>
  <si>
    <r>
      <t>f</t>
    </r>
    <r>
      <rPr>
        <vertAlign val="subscript"/>
        <sz val="12"/>
        <color indexed="8"/>
        <rFont val="Arial"/>
        <family val="2"/>
      </rPr>
      <t>EP,A</t>
    </r>
  </si>
  <si>
    <t>Releasable stored polyphosphates in  PAOs</t>
  </si>
  <si>
    <r>
      <t>X</t>
    </r>
    <r>
      <rPr>
        <vertAlign val="subscript"/>
        <sz val="12"/>
        <rFont val="Arial"/>
        <family val="2"/>
      </rPr>
      <t>PAO,PP,Lo</t>
    </r>
  </si>
  <si>
    <t>Non-releasable stored polyphosphates in PAOs</t>
  </si>
  <si>
    <r>
      <t>X</t>
    </r>
    <r>
      <rPr>
        <vertAlign val="subscript"/>
        <sz val="12"/>
        <rFont val="Arial"/>
        <family val="2"/>
      </rPr>
      <t>PAO,PP,Hi</t>
    </r>
  </si>
  <si>
    <t>Hydrolysis efficiency factor (anoxic)</t>
  </si>
  <si>
    <r>
      <t>E</t>
    </r>
    <r>
      <rPr>
        <vertAlign val="subscript"/>
        <sz val="12"/>
        <rFont val="Arial"/>
        <family val="2"/>
      </rPr>
      <t>ANOX</t>
    </r>
  </si>
  <si>
    <r>
      <t>Y</t>
    </r>
    <r>
      <rPr>
        <vertAlign val="subscript"/>
        <sz val="12"/>
        <rFont val="Arial"/>
        <family val="2"/>
      </rPr>
      <t>hyd,Ax</t>
    </r>
  </si>
  <si>
    <t>Hydrolysis efficiency factor (anaerobic)</t>
  </si>
  <si>
    <r>
      <t>E</t>
    </r>
    <r>
      <rPr>
        <vertAlign val="subscript"/>
        <sz val="12"/>
        <rFont val="Arial"/>
        <family val="2"/>
      </rPr>
      <t>ANA</t>
    </r>
  </si>
  <si>
    <r>
      <t>Y</t>
    </r>
    <r>
      <rPr>
        <vertAlign val="subscript"/>
        <sz val="12"/>
        <rFont val="Arial"/>
        <family val="2"/>
      </rPr>
      <t>hyd,An</t>
    </r>
  </si>
  <si>
    <r>
      <t>Y</t>
    </r>
    <r>
      <rPr>
        <vertAlign val="subscript"/>
        <sz val="12"/>
        <rFont val="Arial"/>
        <family val="2"/>
      </rPr>
      <t>H,AER</t>
    </r>
  </si>
  <si>
    <r>
      <t>Y</t>
    </r>
    <r>
      <rPr>
        <vertAlign val="subscript"/>
        <sz val="12"/>
        <rFont val="Arial"/>
        <family val="2"/>
      </rPr>
      <t>OHO,Ox</t>
    </r>
  </si>
  <si>
    <r>
      <t>Y</t>
    </r>
    <r>
      <rPr>
        <vertAlign val="subscript"/>
        <sz val="12"/>
        <rFont val="Arial"/>
        <family val="2"/>
      </rPr>
      <t>H,ANOX</t>
    </r>
  </si>
  <si>
    <r>
      <t>Y</t>
    </r>
    <r>
      <rPr>
        <vertAlign val="subscript"/>
        <sz val="12"/>
        <rFont val="Arial"/>
        <family val="2"/>
      </rPr>
      <t>OHO,Ax</t>
    </r>
  </si>
  <si>
    <t>23</t>
  </si>
  <si>
    <r>
      <t>f</t>
    </r>
    <r>
      <rPr>
        <vertAlign val="subscript"/>
        <sz val="12"/>
        <rFont val="Arial"/>
        <family val="2"/>
      </rPr>
      <t>EP,P</t>
    </r>
  </si>
  <si>
    <r>
      <t>f</t>
    </r>
    <r>
      <rPr>
        <vertAlign val="subscript"/>
        <sz val="12"/>
        <color indexed="8"/>
        <rFont val="Arial"/>
        <family val="2"/>
      </rPr>
      <t>ES,P</t>
    </r>
  </si>
  <si>
    <r>
      <t>Y</t>
    </r>
    <r>
      <rPr>
        <vertAlign val="subscript"/>
        <sz val="12"/>
        <rFont val="Arial"/>
        <family val="2"/>
      </rPr>
      <t>H,ANA</t>
    </r>
  </si>
  <si>
    <r>
      <t>Y</t>
    </r>
    <r>
      <rPr>
        <vertAlign val="subscript"/>
        <sz val="12"/>
        <rFont val="Arial"/>
        <family val="2"/>
      </rPr>
      <t>OHO,An</t>
    </r>
  </si>
  <si>
    <t>24</t>
  </si>
  <si>
    <r>
      <t>f</t>
    </r>
    <r>
      <rPr>
        <vertAlign val="subscript"/>
        <sz val="12"/>
        <rFont val="Arial"/>
        <family val="2"/>
      </rPr>
      <t>EP,H</t>
    </r>
  </si>
  <si>
    <t>25</t>
  </si>
  <si>
    <t>Yield for fermentation</t>
  </si>
  <si>
    <r>
      <t>Y</t>
    </r>
    <r>
      <rPr>
        <vertAlign val="subscript"/>
        <sz val="12"/>
        <rFont val="Arial"/>
        <family val="2"/>
      </rPr>
      <t>AC</t>
    </r>
  </si>
  <si>
    <r>
      <t>Y</t>
    </r>
    <r>
      <rPr>
        <vertAlign val="subscript"/>
        <sz val="12"/>
        <rFont val="Arial"/>
        <family val="2"/>
      </rPr>
      <t>fe</t>
    </r>
  </si>
  <si>
    <t>26</t>
  </si>
  <si>
    <r>
      <t>Y</t>
    </r>
    <r>
      <rPr>
        <vertAlign val="subscript"/>
        <sz val="12"/>
        <rFont val="Arial"/>
        <family val="2"/>
      </rPr>
      <t>P</t>
    </r>
  </si>
  <si>
    <t>27</t>
  </si>
  <si>
    <r>
      <t>f</t>
    </r>
    <r>
      <rPr>
        <vertAlign val="subscript"/>
        <sz val="12"/>
        <rFont val="Arial"/>
        <family val="2"/>
      </rPr>
      <t>P,UPT1</t>
    </r>
  </si>
  <si>
    <r>
      <t>Y</t>
    </r>
    <r>
      <rPr>
        <vertAlign val="subscript"/>
        <sz val="12"/>
        <rFont val="Arial"/>
        <family val="2"/>
      </rPr>
      <t>PHA_PP,Ox</t>
    </r>
  </si>
  <si>
    <t>28</t>
  </si>
  <si>
    <r>
      <t>f</t>
    </r>
    <r>
      <rPr>
        <vertAlign val="subscript"/>
        <sz val="12"/>
        <rFont val="Arial"/>
        <family val="2"/>
      </rPr>
      <t>P,UPT2</t>
    </r>
  </si>
  <si>
    <r>
      <t>Y</t>
    </r>
    <r>
      <rPr>
        <vertAlign val="subscript"/>
        <sz val="12"/>
        <rFont val="Arial"/>
        <family val="2"/>
      </rPr>
      <t>PHA_PP,Ax</t>
    </r>
  </si>
  <si>
    <t>29</t>
  </si>
  <si>
    <r>
      <t>Y</t>
    </r>
    <r>
      <rPr>
        <vertAlign val="subscript"/>
        <sz val="12"/>
        <rFont val="Arial"/>
        <family val="2"/>
      </rPr>
      <t>PHB</t>
    </r>
  </si>
  <si>
    <r>
      <t>Y</t>
    </r>
    <r>
      <rPr>
        <vertAlign val="subscript"/>
        <sz val="12"/>
        <rFont val="Arial"/>
        <family val="2"/>
      </rPr>
      <t>Ac_PHA,PAO</t>
    </r>
  </si>
  <si>
    <t>30</t>
  </si>
  <si>
    <r>
      <t>f</t>
    </r>
    <r>
      <rPr>
        <vertAlign val="subscript"/>
        <sz val="12"/>
        <rFont val="Arial"/>
        <family val="2"/>
      </rPr>
      <t>P,REL</t>
    </r>
  </si>
  <si>
    <t>31</t>
  </si>
  <si>
    <r>
      <t>f</t>
    </r>
    <r>
      <rPr>
        <vertAlign val="subscript"/>
        <sz val="12"/>
        <rFont val="Arial"/>
        <family val="2"/>
      </rPr>
      <t>PP</t>
    </r>
  </si>
  <si>
    <r>
      <t>f</t>
    </r>
    <r>
      <rPr>
        <vertAlign val="subscript"/>
        <sz val="12"/>
        <rFont val="Arial"/>
        <family val="2"/>
      </rPr>
      <t>PP,Lo_PP</t>
    </r>
  </si>
  <si>
    <t>32</t>
  </si>
  <si>
    <r>
      <t>f</t>
    </r>
    <r>
      <rPr>
        <vertAlign val="subscript"/>
        <sz val="12"/>
        <rFont val="Arial"/>
        <family val="2"/>
      </rPr>
      <t>XU_PAO,lys</t>
    </r>
  </si>
  <si>
    <t>33</t>
  </si>
  <si>
    <r>
      <t>f</t>
    </r>
    <r>
      <rPr>
        <vertAlign val="subscript"/>
        <sz val="12"/>
        <rFont val="Arial"/>
        <family val="2"/>
      </rPr>
      <t>ES,P</t>
    </r>
  </si>
  <si>
    <t>34</t>
  </si>
  <si>
    <t>35</t>
  </si>
  <si>
    <t>Cleavage of poly_P for anaerobic maintenance</t>
  </si>
  <si>
    <r>
      <t>f</t>
    </r>
    <r>
      <rPr>
        <vertAlign val="subscript"/>
        <sz val="12"/>
        <rFont val="Arial"/>
        <family val="2"/>
      </rPr>
      <t>EP,A</t>
    </r>
  </si>
  <si>
    <r>
      <t>f</t>
    </r>
    <r>
      <rPr>
        <vertAlign val="subscript"/>
        <sz val="12"/>
        <rFont val="Arial"/>
        <family val="2"/>
      </rPr>
      <t>XU_ANO,lys</t>
    </r>
  </si>
  <si>
    <t>36</t>
  </si>
  <si>
    <r>
      <t>Y</t>
    </r>
    <r>
      <rPr>
        <vertAlign val="subscript"/>
        <sz val="12"/>
        <color indexed="8"/>
        <rFont val="Arial"/>
        <family val="2"/>
      </rPr>
      <t>PHB</t>
    </r>
  </si>
  <si>
    <r>
      <t>f</t>
    </r>
    <r>
      <rPr>
        <vertAlign val="subscript"/>
        <sz val="12"/>
        <color indexed="8"/>
        <rFont val="Arial"/>
        <family val="2"/>
      </rPr>
      <t>P,REL</t>
    </r>
  </si>
  <si>
    <r>
      <t>f</t>
    </r>
    <r>
      <rPr>
        <vertAlign val="subscript"/>
        <sz val="12"/>
        <rFont val="Arial"/>
        <family val="2"/>
      </rPr>
      <t>N,SEP</t>
    </r>
  </si>
  <si>
    <r>
      <t>f</t>
    </r>
    <r>
      <rPr>
        <vertAlign val="subscript"/>
        <sz val="12"/>
        <rFont val="Arial"/>
        <family val="2"/>
      </rPr>
      <t>N,ZH</t>
    </r>
  </si>
  <si>
    <r>
      <t>i</t>
    </r>
    <r>
      <rPr>
        <vertAlign val="subscript"/>
        <sz val="12"/>
        <rFont val="Arial"/>
        <family val="2"/>
      </rPr>
      <t>N_OHO</t>
    </r>
  </si>
  <si>
    <r>
      <t>f</t>
    </r>
    <r>
      <rPr>
        <vertAlign val="subscript"/>
        <sz val="12"/>
        <rFont val="Arial"/>
        <family val="2"/>
      </rPr>
      <t>N,ZEH</t>
    </r>
  </si>
  <si>
    <r>
      <t>i</t>
    </r>
    <r>
      <rPr>
        <vertAlign val="subscript"/>
        <sz val="12"/>
        <rFont val="Arial"/>
        <family val="2"/>
      </rPr>
      <t>N_XUE,OHO</t>
    </r>
  </si>
  <si>
    <r>
      <t>f</t>
    </r>
    <r>
      <rPr>
        <vertAlign val="subscript"/>
        <sz val="12"/>
        <color indexed="8"/>
        <rFont val="Arial"/>
        <family val="2"/>
      </rPr>
      <t>N,ZH</t>
    </r>
  </si>
  <si>
    <r>
      <t>f</t>
    </r>
    <r>
      <rPr>
        <vertAlign val="subscript"/>
        <sz val="12"/>
        <color indexed="8"/>
        <rFont val="Arial"/>
        <family val="2"/>
      </rPr>
      <t>N,ZA</t>
    </r>
  </si>
  <si>
    <r>
      <t>f</t>
    </r>
    <r>
      <rPr>
        <vertAlign val="subscript"/>
        <sz val="12"/>
        <color indexed="8"/>
        <rFont val="Arial"/>
        <family val="2"/>
      </rPr>
      <t>N,ZP</t>
    </r>
  </si>
  <si>
    <r>
      <t>f</t>
    </r>
    <r>
      <rPr>
        <vertAlign val="subscript"/>
        <sz val="12"/>
        <color indexed="8"/>
        <rFont val="Arial"/>
        <family val="2"/>
      </rPr>
      <t>N,ZEH</t>
    </r>
  </si>
  <si>
    <r>
      <t>f</t>
    </r>
    <r>
      <rPr>
        <vertAlign val="subscript"/>
        <sz val="12"/>
        <rFont val="Arial"/>
        <family val="2"/>
      </rPr>
      <t>N,ZP</t>
    </r>
  </si>
  <si>
    <r>
      <t>i</t>
    </r>
    <r>
      <rPr>
        <vertAlign val="subscript"/>
        <sz val="12"/>
        <rFont val="Arial"/>
        <family val="2"/>
      </rPr>
      <t>N_PAO</t>
    </r>
  </si>
  <si>
    <r>
      <t>f</t>
    </r>
    <r>
      <rPr>
        <vertAlign val="subscript"/>
        <sz val="12"/>
        <color indexed="8"/>
        <rFont val="Arial"/>
        <family val="2"/>
      </rPr>
      <t>P,ZH</t>
    </r>
  </si>
  <si>
    <r>
      <t>f</t>
    </r>
    <r>
      <rPr>
        <vertAlign val="subscript"/>
        <sz val="12"/>
        <color indexed="8"/>
        <rFont val="Arial"/>
        <family val="2"/>
      </rPr>
      <t>P,ZA</t>
    </r>
  </si>
  <si>
    <r>
      <t>f</t>
    </r>
    <r>
      <rPr>
        <vertAlign val="subscript"/>
        <sz val="12"/>
        <color indexed="8"/>
        <rFont val="Arial"/>
        <family val="2"/>
      </rPr>
      <t>P,ZP</t>
    </r>
  </si>
  <si>
    <r>
      <t>f</t>
    </r>
    <r>
      <rPr>
        <vertAlign val="subscript"/>
        <sz val="12"/>
        <color indexed="8"/>
        <rFont val="Arial"/>
        <family val="2"/>
      </rPr>
      <t>P,ZEH</t>
    </r>
  </si>
  <si>
    <r>
      <t>f</t>
    </r>
    <r>
      <rPr>
        <vertAlign val="subscript"/>
        <sz val="12"/>
        <rFont val="Arial"/>
        <family val="2"/>
      </rPr>
      <t>N,ZEP</t>
    </r>
  </si>
  <si>
    <r>
      <t>i</t>
    </r>
    <r>
      <rPr>
        <vertAlign val="subscript"/>
        <sz val="12"/>
        <rFont val="Arial"/>
        <family val="2"/>
      </rPr>
      <t>N_XUE,PAO</t>
    </r>
  </si>
  <si>
    <r>
      <t>f</t>
    </r>
    <r>
      <rPr>
        <vertAlign val="subscript"/>
        <sz val="12"/>
        <rFont val="Arial"/>
        <family val="2"/>
      </rPr>
      <t>N,ZA</t>
    </r>
  </si>
  <si>
    <r>
      <t>i</t>
    </r>
    <r>
      <rPr>
        <vertAlign val="subscript"/>
        <sz val="12"/>
        <rFont val="Arial"/>
        <family val="2"/>
      </rPr>
      <t>N_ANO</t>
    </r>
  </si>
  <si>
    <r>
      <t>f</t>
    </r>
    <r>
      <rPr>
        <vertAlign val="subscript"/>
        <sz val="12"/>
        <rFont val="Arial"/>
        <family val="2"/>
      </rPr>
      <t>N,ZEA</t>
    </r>
  </si>
  <si>
    <r>
      <t>i</t>
    </r>
    <r>
      <rPr>
        <vertAlign val="subscript"/>
        <sz val="12"/>
        <rFont val="Arial"/>
        <family val="2"/>
      </rPr>
      <t>N_XUE,ANO</t>
    </r>
  </si>
  <si>
    <r>
      <t>f</t>
    </r>
    <r>
      <rPr>
        <vertAlign val="subscript"/>
        <sz val="12"/>
        <rFont val="Arial"/>
        <family val="2"/>
      </rPr>
      <t>P,ZH</t>
    </r>
  </si>
  <si>
    <r>
      <t>i</t>
    </r>
    <r>
      <rPr>
        <vertAlign val="subscript"/>
        <sz val="12"/>
        <rFont val="Arial"/>
        <family val="2"/>
      </rPr>
      <t>P_OHO</t>
    </r>
  </si>
  <si>
    <r>
      <t>f</t>
    </r>
    <r>
      <rPr>
        <vertAlign val="subscript"/>
        <sz val="12"/>
        <rFont val="Arial"/>
        <family val="2"/>
      </rPr>
      <t>P,ZEH</t>
    </r>
  </si>
  <si>
    <r>
      <t>i</t>
    </r>
    <r>
      <rPr>
        <vertAlign val="subscript"/>
        <sz val="12"/>
        <rFont val="Arial"/>
        <family val="2"/>
      </rPr>
      <t>P_XUE,OHO</t>
    </r>
  </si>
  <si>
    <r>
      <t>X</t>
    </r>
    <r>
      <rPr>
        <vertAlign val="subscript"/>
        <sz val="12"/>
        <color indexed="8"/>
        <rFont val="Arial"/>
        <family val="2"/>
      </rPr>
      <t>PAO,PP,Lo</t>
    </r>
  </si>
  <si>
    <r>
      <t>X</t>
    </r>
    <r>
      <rPr>
        <vertAlign val="subscript"/>
        <sz val="12"/>
        <color indexed="8"/>
        <rFont val="Arial"/>
        <family val="2"/>
      </rPr>
      <t>PAO,PP,Hi</t>
    </r>
  </si>
  <si>
    <r>
      <t>S</t>
    </r>
    <r>
      <rPr>
        <vertAlign val="subscript"/>
        <sz val="12"/>
        <color indexed="8"/>
        <rFont val="Arial"/>
        <family val="2"/>
      </rPr>
      <t>U,N</t>
    </r>
  </si>
  <si>
    <r>
      <t>f</t>
    </r>
    <r>
      <rPr>
        <vertAlign val="subscript"/>
        <sz val="12"/>
        <rFont val="Arial"/>
        <family val="2"/>
      </rPr>
      <t>P,ZP</t>
    </r>
  </si>
  <si>
    <r>
      <t>i</t>
    </r>
    <r>
      <rPr>
        <vertAlign val="subscript"/>
        <sz val="12"/>
        <rFont val="Arial"/>
        <family val="2"/>
      </rPr>
      <t>P_PAO</t>
    </r>
  </si>
  <si>
    <r>
      <t>f</t>
    </r>
    <r>
      <rPr>
        <vertAlign val="subscript"/>
        <sz val="12"/>
        <rFont val="Arial"/>
        <family val="2"/>
      </rPr>
      <t>P,ZEP</t>
    </r>
  </si>
  <si>
    <r>
      <t>i</t>
    </r>
    <r>
      <rPr>
        <vertAlign val="subscript"/>
        <sz val="12"/>
        <rFont val="Arial"/>
        <family val="2"/>
      </rPr>
      <t>P_XUE,PAO</t>
    </r>
  </si>
  <si>
    <r>
      <t>f</t>
    </r>
    <r>
      <rPr>
        <vertAlign val="subscript"/>
        <sz val="12"/>
        <rFont val="Arial"/>
        <family val="2"/>
      </rPr>
      <t>P,ZA</t>
    </r>
  </si>
  <si>
    <r>
      <t>i</t>
    </r>
    <r>
      <rPr>
        <vertAlign val="subscript"/>
        <sz val="12"/>
        <rFont val="Arial"/>
        <family val="2"/>
      </rPr>
      <t>P_ANO</t>
    </r>
  </si>
  <si>
    <r>
      <t>f</t>
    </r>
    <r>
      <rPr>
        <vertAlign val="subscript"/>
        <sz val="12"/>
        <rFont val="Arial"/>
        <family val="2"/>
      </rPr>
      <t>P,ZEA</t>
    </r>
  </si>
  <si>
    <r>
      <t>i</t>
    </r>
    <r>
      <rPr>
        <vertAlign val="subscript"/>
        <sz val="12"/>
        <rFont val="Arial"/>
        <family val="2"/>
      </rPr>
      <t>P_XUE,ANO</t>
    </r>
  </si>
  <si>
    <t>Ratio COD/VSS (OHO)</t>
  </si>
  <si>
    <r>
      <t>f</t>
    </r>
    <r>
      <rPr>
        <vertAlign val="subscript"/>
        <sz val="12"/>
        <rFont val="Arial"/>
        <family val="2"/>
      </rPr>
      <t>CV,H</t>
    </r>
  </si>
  <si>
    <r>
      <t>i</t>
    </r>
    <r>
      <rPr>
        <vertAlign val="subscript"/>
        <sz val="12"/>
        <rFont val="Arial"/>
        <family val="2"/>
      </rPr>
      <t>VSS_OHO</t>
    </r>
  </si>
  <si>
    <t>Ratio COD/VSS (ANO)</t>
  </si>
  <si>
    <r>
      <t>f</t>
    </r>
    <r>
      <rPr>
        <vertAlign val="subscript"/>
        <sz val="12"/>
        <rFont val="Arial"/>
        <family val="2"/>
      </rPr>
      <t>CV,A</t>
    </r>
  </si>
  <si>
    <r>
      <t>i</t>
    </r>
    <r>
      <rPr>
        <vertAlign val="subscript"/>
        <sz val="12"/>
        <rFont val="Arial"/>
        <family val="2"/>
      </rPr>
      <t>VSS_ANO</t>
    </r>
  </si>
  <si>
    <t>Ratio COD/VSS (PAO)</t>
  </si>
  <si>
    <r>
      <t>f</t>
    </r>
    <r>
      <rPr>
        <vertAlign val="subscript"/>
        <sz val="12"/>
        <rFont val="Arial"/>
        <family val="2"/>
      </rPr>
      <t>CV,P</t>
    </r>
  </si>
  <si>
    <r>
      <t>i</t>
    </r>
    <r>
      <rPr>
        <vertAlign val="subscript"/>
        <sz val="12"/>
        <rFont val="Arial"/>
        <family val="2"/>
      </rPr>
      <t>VSS_PAO</t>
    </r>
  </si>
  <si>
    <r>
      <t>i</t>
    </r>
    <r>
      <rPr>
        <vertAlign val="subscript"/>
        <sz val="12"/>
        <color indexed="10"/>
        <rFont val="Arial"/>
        <family val="2"/>
      </rPr>
      <t>COD_H2</t>
    </r>
  </si>
  <si>
    <r>
      <t>g COD.g H</t>
    </r>
    <r>
      <rPr>
        <vertAlign val="superscript"/>
        <sz val="8"/>
        <color indexed="10"/>
        <rFont val="Arial"/>
        <family val="2"/>
      </rPr>
      <t>-1</t>
    </r>
  </si>
  <si>
    <r>
      <t>Y</t>
    </r>
    <r>
      <rPr>
        <vertAlign val="subscript"/>
        <sz val="12"/>
        <color indexed="8"/>
        <rFont val="Arial"/>
        <family val="2"/>
      </rPr>
      <t>hyd,Ax</t>
    </r>
  </si>
  <si>
    <r>
      <t>K</t>
    </r>
    <r>
      <rPr>
        <vertAlign val="subscript"/>
        <sz val="12"/>
        <rFont val="Arial"/>
        <family val="2"/>
      </rPr>
      <t>H</t>
    </r>
  </si>
  <si>
    <r>
      <t>Y</t>
    </r>
    <r>
      <rPr>
        <vertAlign val="subscript"/>
        <sz val="12"/>
        <color indexed="8"/>
        <rFont val="Arial"/>
        <family val="2"/>
      </rPr>
      <t>hyd,An</t>
    </r>
  </si>
  <si>
    <r>
      <t>η</t>
    </r>
    <r>
      <rPr>
        <vertAlign val="subscript"/>
        <sz val="12"/>
        <rFont val="Arial"/>
        <family val="2"/>
      </rPr>
      <t>S,ANOX</t>
    </r>
  </si>
  <si>
    <r>
      <t>η</t>
    </r>
    <r>
      <rPr>
        <vertAlign val="subscript"/>
        <sz val="12"/>
        <rFont val="Arial"/>
        <family val="2"/>
      </rPr>
      <t>S,ANA</t>
    </r>
  </si>
  <si>
    <r>
      <t>Y</t>
    </r>
    <r>
      <rPr>
        <vertAlign val="subscript"/>
        <sz val="12"/>
        <color indexed="8"/>
        <rFont val="Arial"/>
        <family val="2"/>
      </rPr>
      <t>OHO,An</t>
    </r>
  </si>
  <si>
    <r>
      <t>K</t>
    </r>
    <r>
      <rPr>
        <vertAlign val="subscript"/>
        <sz val="12"/>
        <rFont val="Arial"/>
        <family val="2"/>
      </rPr>
      <t>LP,GRO</t>
    </r>
  </si>
  <si>
    <r>
      <t>K</t>
    </r>
    <r>
      <rPr>
        <vertAlign val="subscript"/>
        <sz val="12"/>
        <rFont val="Arial"/>
        <family val="2"/>
      </rPr>
      <t>PO4,Bio,nut</t>
    </r>
  </si>
  <si>
    <r>
      <t>η</t>
    </r>
    <r>
      <rPr>
        <vertAlign val="subscript"/>
        <sz val="12"/>
        <rFont val="Arial"/>
        <family val="2"/>
      </rPr>
      <t>gro</t>
    </r>
  </si>
  <si>
    <r>
      <t>K</t>
    </r>
    <r>
      <rPr>
        <vertAlign val="subscript"/>
        <sz val="12"/>
        <rFont val="Arial"/>
        <family val="2"/>
      </rPr>
      <t>C</t>
    </r>
  </si>
  <si>
    <t>Ammonia (NH4+ + NH3)</t>
  </si>
  <si>
    <r>
      <t>i</t>
    </r>
    <r>
      <rPr>
        <vertAlign val="subscript"/>
        <sz val="12"/>
        <rFont val="Arial"/>
        <family val="2"/>
      </rPr>
      <t>SS,BM</t>
    </r>
  </si>
  <si>
    <t>Storage compound in OHOs</t>
  </si>
  <si>
    <r>
      <t>X</t>
    </r>
    <r>
      <rPr>
        <vertAlign val="subscript"/>
        <sz val="12"/>
        <rFont val="Arial"/>
        <family val="2"/>
      </rPr>
      <t>OHO,Stor</t>
    </r>
  </si>
  <si>
    <t>12</t>
  </si>
  <si>
    <r>
      <t>Y</t>
    </r>
    <r>
      <rPr>
        <vertAlign val="subscript"/>
        <sz val="12"/>
        <rFont val="Arial"/>
        <family val="2"/>
      </rPr>
      <t>H,O2</t>
    </r>
  </si>
  <si>
    <r>
      <t>Y</t>
    </r>
    <r>
      <rPr>
        <vertAlign val="subscript"/>
        <sz val="12"/>
        <rFont val="Arial"/>
        <family val="2"/>
      </rPr>
      <t>Stor_OHO,Ox</t>
    </r>
  </si>
  <si>
    <r>
      <t>Y</t>
    </r>
    <r>
      <rPr>
        <vertAlign val="subscript"/>
        <sz val="12"/>
        <rFont val="Arial"/>
        <family val="2"/>
      </rPr>
      <t>H,NOX</t>
    </r>
  </si>
  <si>
    <r>
      <t>Y</t>
    </r>
    <r>
      <rPr>
        <vertAlign val="subscript"/>
        <sz val="12"/>
        <rFont val="Arial"/>
        <family val="2"/>
      </rPr>
      <t>Stor_OHO,Ax</t>
    </r>
  </si>
  <si>
    <r>
      <t>Y</t>
    </r>
    <r>
      <rPr>
        <vertAlign val="subscript"/>
        <sz val="12"/>
        <rFont val="Arial"/>
        <family val="2"/>
      </rPr>
      <t>SB_Stor,Ox</t>
    </r>
  </si>
  <si>
    <r>
      <t>i</t>
    </r>
    <r>
      <rPr>
        <vertAlign val="subscript"/>
        <sz val="12"/>
        <rFont val="Arial"/>
        <family val="2"/>
      </rPr>
      <t>SS,XI</t>
    </r>
  </si>
  <si>
    <r>
      <t>i</t>
    </r>
    <r>
      <rPr>
        <vertAlign val="subscript"/>
        <sz val="12"/>
        <rFont val="Arial"/>
        <family val="2"/>
      </rPr>
      <t>SS,XS</t>
    </r>
  </si>
  <si>
    <r>
      <t>i</t>
    </r>
    <r>
      <rPr>
        <vertAlign val="subscript"/>
        <sz val="12"/>
        <rFont val="Arial"/>
        <family val="2"/>
      </rPr>
      <t>SS,STO</t>
    </r>
  </si>
  <si>
    <r>
      <t>Y</t>
    </r>
    <r>
      <rPr>
        <vertAlign val="subscript"/>
        <sz val="12"/>
        <rFont val="Arial"/>
        <family val="2"/>
      </rPr>
      <t>SB_Stor,Ax</t>
    </r>
  </si>
  <si>
    <r>
      <t>f</t>
    </r>
    <r>
      <rPr>
        <vertAlign val="subscript"/>
        <sz val="12"/>
        <rFont val="Arial"/>
        <family val="2"/>
      </rPr>
      <t>Xi</t>
    </r>
  </si>
  <si>
    <r>
      <t>i</t>
    </r>
    <r>
      <rPr>
        <vertAlign val="subscript"/>
        <sz val="12"/>
        <rFont val="Arial"/>
        <family val="2"/>
      </rPr>
      <t>N_SB</t>
    </r>
  </si>
  <si>
    <r>
      <t>i</t>
    </r>
    <r>
      <rPr>
        <vertAlign val="subscript"/>
        <sz val="12"/>
        <rFont val="Arial"/>
        <family val="2"/>
      </rPr>
      <t>TSS_XOHO,Stor</t>
    </r>
  </si>
  <si>
    <r>
      <t>i</t>
    </r>
    <r>
      <rPr>
        <vertAlign val="subscript"/>
        <sz val="12"/>
        <color indexed="10"/>
        <rFont val="Arial"/>
        <family val="2"/>
      </rPr>
      <t>SS,STO</t>
    </r>
  </si>
  <si>
    <t>Kinetics</t>
  </si>
  <si>
    <r>
      <t>k</t>
    </r>
    <r>
      <rPr>
        <vertAlign val="subscript"/>
        <sz val="12"/>
        <rFont val="Arial"/>
        <family val="2"/>
      </rPr>
      <t>H</t>
    </r>
  </si>
  <si>
    <r>
      <t>k</t>
    </r>
    <r>
      <rPr>
        <vertAlign val="subscript"/>
        <sz val="12"/>
        <rFont val="Arial"/>
        <family val="2"/>
      </rPr>
      <t>STO</t>
    </r>
  </si>
  <si>
    <r>
      <t>q</t>
    </r>
    <r>
      <rPr>
        <vertAlign val="subscript"/>
        <sz val="12"/>
        <rFont val="Arial"/>
        <family val="2"/>
      </rPr>
      <t>SB_Stor</t>
    </r>
  </si>
  <si>
    <r>
      <t>η</t>
    </r>
    <r>
      <rPr>
        <vertAlign val="subscript"/>
        <sz val="12"/>
        <rFont val="Arial"/>
        <family val="2"/>
      </rPr>
      <t>NOX</t>
    </r>
  </si>
  <si>
    <r>
      <t>i</t>
    </r>
    <r>
      <rPr>
        <vertAlign val="subscript"/>
        <sz val="12"/>
        <rFont val="Arial"/>
        <family val="2"/>
      </rPr>
      <t>TSS_XSto</t>
    </r>
  </si>
  <si>
    <r>
      <t>K</t>
    </r>
    <r>
      <rPr>
        <vertAlign val="subscript"/>
        <sz val="12"/>
        <rFont val="Arial"/>
        <family val="2"/>
      </rPr>
      <t>S</t>
    </r>
  </si>
  <si>
    <r>
      <t>K</t>
    </r>
    <r>
      <rPr>
        <vertAlign val="subscript"/>
        <sz val="12"/>
        <rFont val="Arial"/>
        <family val="2"/>
      </rPr>
      <t>STO</t>
    </r>
  </si>
  <si>
    <r>
      <t>K</t>
    </r>
    <r>
      <rPr>
        <vertAlign val="subscript"/>
        <sz val="12"/>
        <rFont val="Arial"/>
        <family val="2"/>
      </rPr>
      <t>Stor_OHO</t>
    </r>
  </si>
  <si>
    <r>
      <t>b</t>
    </r>
    <r>
      <rPr>
        <vertAlign val="subscript"/>
        <sz val="12"/>
        <rFont val="Arial"/>
        <family val="2"/>
      </rPr>
      <t>H,O2</t>
    </r>
  </si>
  <si>
    <r>
      <t>m</t>
    </r>
    <r>
      <rPr>
        <vertAlign val="subscript"/>
        <sz val="12"/>
        <rFont val="Arial"/>
        <family val="2"/>
      </rPr>
      <t>OHO,Ox</t>
    </r>
  </si>
  <si>
    <r>
      <t>b</t>
    </r>
    <r>
      <rPr>
        <vertAlign val="subscript"/>
        <sz val="12"/>
        <rFont val="Arial"/>
        <family val="2"/>
      </rPr>
      <t>H,NOX</t>
    </r>
  </si>
  <si>
    <r>
      <t>m</t>
    </r>
    <r>
      <rPr>
        <vertAlign val="subscript"/>
        <sz val="12"/>
        <rFont val="Arial"/>
        <family val="2"/>
      </rPr>
      <t>OHO,Ax</t>
    </r>
  </si>
  <si>
    <r>
      <t>b</t>
    </r>
    <r>
      <rPr>
        <vertAlign val="subscript"/>
        <sz val="12"/>
        <rFont val="Arial"/>
        <family val="2"/>
      </rPr>
      <t>STO,O2</t>
    </r>
  </si>
  <si>
    <r>
      <t>m</t>
    </r>
    <r>
      <rPr>
        <vertAlign val="subscript"/>
        <sz val="12"/>
        <rFont val="Arial"/>
        <family val="2"/>
      </rPr>
      <t>Stor,Ox</t>
    </r>
  </si>
  <si>
    <r>
      <t>b</t>
    </r>
    <r>
      <rPr>
        <vertAlign val="subscript"/>
        <sz val="12"/>
        <rFont val="Arial"/>
        <family val="2"/>
      </rPr>
      <t>STO,NOX</t>
    </r>
  </si>
  <si>
    <r>
      <t>m</t>
    </r>
    <r>
      <rPr>
        <vertAlign val="subscript"/>
        <sz val="12"/>
        <rFont val="Arial"/>
        <family val="2"/>
      </rPr>
      <t>Stor,Ax</t>
    </r>
  </si>
  <si>
    <r>
      <t>K</t>
    </r>
    <r>
      <rPr>
        <vertAlign val="subscript"/>
        <sz val="12"/>
        <rFont val="Arial"/>
        <family val="2"/>
      </rPr>
      <t>O2</t>
    </r>
  </si>
  <si>
    <r>
      <t>K</t>
    </r>
    <r>
      <rPr>
        <vertAlign val="subscript"/>
        <sz val="12"/>
        <rFont val="Arial"/>
        <family val="2"/>
      </rPr>
      <t>NOX</t>
    </r>
  </si>
  <si>
    <r>
      <t>K</t>
    </r>
    <r>
      <rPr>
        <vertAlign val="subscript"/>
        <sz val="12"/>
        <rFont val="Arial"/>
        <family val="2"/>
      </rPr>
      <t>NH4</t>
    </r>
  </si>
  <si>
    <r>
      <t>K</t>
    </r>
    <r>
      <rPr>
        <vertAlign val="subscript"/>
        <sz val="12"/>
        <rFont val="Arial"/>
        <family val="2"/>
      </rPr>
      <t>ALK</t>
    </r>
  </si>
  <si>
    <r>
      <t>b</t>
    </r>
    <r>
      <rPr>
        <vertAlign val="subscript"/>
        <sz val="12"/>
        <rFont val="Arial"/>
        <family val="2"/>
      </rPr>
      <t>A,O2</t>
    </r>
  </si>
  <si>
    <r>
      <t>m</t>
    </r>
    <r>
      <rPr>
        <vertAlign val="subscript"/>
        <sz val="12"/>
        <rFont val="Arial"/>
        <family val="2"/>
      </rPr>
      <t>ANO,Ox</t>
    </r>
  </si>
  <si>
    <r>
      <t>b</t>
    </r>
    <r>
      <rPr>
        <vertAlign val="subscript"/>
        <sz val="12"/>
        <rFont val="Arial"/>
        <family val="2"/>
      </rPr>
      <t>A,NOX</t>
    </r>
  </si>
  <si>
    <r>
      <t>m</t>
    </r>
    <r>
      <rPr>
        <vertAlign val="subscript"/>
        <sz val="12"/>
        <rFont val="Arial"/>
        <family val="2"/>
      </rPr>
      <t>ANO,Ax</t>
    </r>
  </si>
  <si>
    <r>
      <t>K</t>
    </r>
    <r>
      <rPr>
        <vertAlign val="subscript"/>
        <sz val="12"/>
        <rFont val="Arial"/>
        <family val="2"/>
      </rPr>
      <t>A,O2</t>
    </r>
  </si>
  <si>
    <r>
      <t>K</t>
    </r>
    <r>
      <rPr>
        <vertAlign val="subscript"/>
        <sz val="12"/>
        <rFont val="Arial"/>
        <family val="2"/>
      </rPr>
      <t>A,NH4</t>
    </r>
  </si>
  <si>
    <r>
      <t>K</t>
    </r>
    <r>
      <rPr>
        <vertAlign val="subscript"/>
        <sz val="12"/>
        <rFont val="Arial"/>
        <family val="2"/>
      </rPr>
      <t>A,ALK</t>
    </r>
  </si>
  <si>
    <t>X_STO</t>
  </si>
  <si>
    <t>*same parameter value as ASM3+Bio-P has been chosen</t>
  </si>
  <si>
    <t>S_NOX</t>
  </si>
  <si>
    <t>X_A</t>
  </si>
  <si>
    <t>ASM3 + BioP</t>
  </si>
  <si>
    <t>Rieger L., Koch G., Kühni M., Gujer W. and Siegrist H. (2001) The eawag bio-P module for activated sludge model No.3. Wat. Res., 35 (16), 3887-3903.</t>
  </si>
  <si>
    <t>* Rieger L., Koch G., Kühni M., Gujer W. and Siegrist H. (2001) The eawag bio-P module for activated sludge model No.3. Wat. Res., 35 (16), 3887-3903.</t>
  </si>
  <si>
    <t>Components</t>
  </si>
  <si>
    <r>
      <t>S</t>
    </r>
    <r>
      <rPr>
        <vertAlign val="subscript"/>
        <sz val="12"/>
        <rFont val="Arial"/>
        <family val="2"/>
      </rPr>
      <t>HCO</t>
    </r>
  </si>
  <si>
    <t>state variables</t>
  </si>
  <si>
    <r>
      <t>f</t>
    </r>
    <r>
      <rPr>
        <vertAlign val="subscript"/>
        <sz val="12"/>
        <color indexed="10"/>
        <rFont val="Arial"/>
        <family val="2"/>
      </rPr>
      <t>SI</t>
    </r>
  </si>
  <si>
    <r>
      <t>i</t>
    </r>
    <r>
      <rPr>
        <vertAlign val="subscript"/>
        <sz val="12"/>
        <rFont val="Arial"/>
        <family val="2"/>
      </rPr>
      <t>P,SS</t>
    </r>
  </si>
  <si>
    <r>
      <t>Y</t>
    </r>
    <r>
      <rPr>
        <vertAlign val="subscript"/>
        <sz val="12"/>
        <rFont val="Arial"/>
        <family val="2"/>
      </rPr>
      <t>STO,NO</t>
    </r>
  </si>
  <si>
    <t>Inorganic soluble phosphorus</t>
  </si>
  <si>
    <t>P01</t>
  </si>
  <si>
    <t>Stored poly-β-hydroxyalkanoate in PAOs</t>
  </si>
  <si>
    <t>P02</t>
  </si>
  <si>
    <t>P03</t>
  </si>
  <si>
    <t>P04</t>
  </si>
  <si>
    <t>P05</t>
  </si>
  <si>
    <t>stoichiometry</t>
  </si>
  <si>
    <t>P06</t>
  </si>
  <si>
    <t>P07</t>
  </si>
  <si>
    <r>
      <t>Y</t>
    </r>
    <r>
      <rPr>
        <vertAlign val="subscript"/>
        <sz val="12"/>
        <rFont val="Arial"/>
        <family val="2"/>
      </rPr>
      <t>H,NO</t>
    </r>
  </si>
  <si>
    <t>P08</t>
  </si>
  <si>
    <t>P09</t>
  </si>
  <si>
    <t>P10</t>
  </si>
  <si>
    <t>P11</t>
  </si>
  <si>
    <r>
      <t>Y</t>
    </r>
    <r>
      <rPr>
        <vertAlign val="subscript"/>
        <sz val="12"/>
        <rFont val="Arial"/>
        <family val="2"/>
      </rPr>
      <t>PAO,O2</t>
    </r>
  </si>
  <si>
    <r>
      <t>Y</t>
    </r>
    <r>
      <rPr>
        <vertAlign val="subscript"/>
        <sz val="12"/>
        <rFont val="Arial"/>
        <family val="2"/>
      </rPr>
      <t>PAO,Ox</t>
    </r>
  </si>
  <si>
    <r>
      <t>Y</t>
    </r>
    <r>
      <rPr>
        <vertAlign val="subscript"/>
        <sz val="12"/>
        <rFont val="Arial"/>
        <family val="2"/>
      </rPr>
      <t>PAO,NO</t>
    </r>
  </si>
  <si>
    <r>
      <t>Y</t>
    </r>
    <r>
      <rPr>
        <vertAlign val="subscript"/>
        <sz val="12"/>
        <rFont val="Arial"/>
        <family val="2"/>
      </rPr>
      <t>PAO,Ax</t>
    </r>
  </si>
  <si>
    <r>
      <t>f</t>
    </r>
    <r>
      <rPr>
        <vertAlign val="subscript"/>
        <sz val="12"/>
        <rFont val="Arial"/>
        <family val="2"/>
      </rPr>
      <t>SU_PAO,lys</t>
    </r>
  </si>
  <si>
    <r>
      <t>Y</t>
    </r>
    <r>
      <rPr>
        <vertAlign val="subscript"/>
        <sz val="12"/>
        <rFont val="Arial"/>
        <family val="2"/>
      </rPr>
      <t>AUT</t>
    </r>
  </si>
  <si>
    <r>
      <t>i</t>
    </r>
    <r>
      <rPr>
        <vertAlign val="subscript"/>
        <sz val="12"/>
        <rFont val="Arial"/>
        <family val="2"/>
      </rPr>
      <t>TSS,XSTO</t>
    </r>
  </si>
  <si>
    <r>
      <t>i</t>
    </r>
    <r>
      <rPr>
        <vertAlign val="subscript"/>
        <sz val="12"/>
        <rFont val="Arial"/>
        <family val="2"/>
      </rPr>
      <t>P_SB</t>
    </r>
  </si>
  <si>
    <r>
      <t>f</t>
    </r>
    <r>
      <rPr>
        <vertAlign val="subscript"/>
        <sz val="12"/>
        <color indexed="10"/>
        <rFont val="Arial"/>
        <family val="2"/>
      </rPr>
      <t>SU_XCB,hyd</t>
    </r>
  </si>
  <si>
    <t>kinetics</t>
  </si>
  <si>
    <t>12.5</t>
  </si>
  <si>
    <r>
      <t>η</t>
    </r>
    <r>
      <rPr>
        <vertAlign val="subscript"/>
        <sz val="12"/>
        <rFont val="Arial"/>
        <family val="2"/>
      </rPr>
      <t>NO,H</t>
    </r>
  </si>
  <si>
    <r>
      <t>K</t>
    </r>
    <r>
      <rPr>
        <vertAlign val="subscript"/>
        <sz val="12"/>
        <rFont val="Arial"/>
        <family val="2"/>
      </rPr>
      <t>SS,H</t>
    </r>
  </si>
  <si>
    <r>
      <t>K</t>
    </r>
    <r>
      <rPr>
        <vertAlign val="subscript"/>
        <sz val="12"/>
        <rFont val="Arial"/>
        <family val="2"/>
      </rPr>
      <t>STO,H</t>
    </r>
  </si>
  <si>
    <r>
      <t>m</t>
    </r>
    <r>
      <rPr>
        <vertAlign val="subscript"/>
        <sz val="12"/>
        <rFont val="Arial"/>
        <family val="2"/>
      </rPr>
      <t>OHO</t>
    </r>
  </si>
  <si>
    <t>0.3</t>
  </si>
  <si>
    <t>Reduction factor for Anoxic endogenous respiration of OHO</t>
  </si>
  <si>
    <r>
      <t>η</t>
    </r>
    <r>
      <rPr>
        <vertAlign val="subscript"/>
        <sz val="12"/>
        <rFont val="Arial"/>
        <family val="2"/>
      </rPr>
      <t>NO,end,H</t>
    </r>
  </si>
  <si>
    <r>
      <t>n</t>
    </r>
    <r>
      <rPr>
        <vertAlign val="subscript"/>
        <sz val="12"/>
        <rFont val="Arial"/>
        <family val="2"/>
      </rPr>
      <t>mOHO,Ax</t>
    </r>
  </si>
  <si>
    <r>
      <t>b</t>
    </r>
    <r>
      <rPr>
        <vertAlign val="subscript"/>
        <sz val="12"/>
        <rFont val="Arial"/>
        <family val="2"/>
      </rPr>
      <t>Sto</t>
    </r>
  </si>
  <si>
    <r>
      <t>m</t>
    </r>
    <r>
      <rPr>
        <vertAlign val="subscript"/>
        <sz val="12"/>
        <rFont val="Arial"/>
        <family val="2"/>
      </rPr>
      <t>Stor</t>
    </r>
  </si>
  <si>
    <r>
      <t>K</t>
    </r>
    <r>
      <rPr>
        <vertAlign val="subscript"/>
        <sz val="12"/>
        <rFont val="Arial"/>
        <family val="2"/>
      </rPr>
      <t>NO,H</t>
    </r>
  </si>
  <si>
    <r>
      <t>K</t>
    </r>
    <r>
      <rPr>
        <vertAlign val="subscript"/>
        <sz val="12"/>
        <rFont val="Arial"/>
        <family val="2"/>
      </rPr>
      <t>NH,H</t>
    </r>
  </si>
  <si>
    <r>
      <t>K</t>
    </r>
    <r>
      <rPr>
        <vertAlign val="subscript"/>
        <sz val="12"/>
        <rFont val="Arial"/>
        <family val="2"/>
      </rPr>
      <t>PO4,H</t>
    </r>
  </si>
  <si>
    <r>
      <t>K</t>
    </r>
    <r>
      <rPr>
        <vertAlign val="subscript"/>
        <sz val="12"/>
        <rFont val="Arial"/>
        <family val="2"/>
      </rPr>
      <t>HCO,H</t>
    </r>
  </si>
  <si>
    <t>1.5</t>
  </si>
  <si>
    <r>
      <t>K</t>
    </r>
    <r>
      <rPr>
        <vertAlign val="subscript"/>
        <sz val="12"/>
        <rFont val="Arial"/>
        <family val="2"/>
      </rPr>
      <t>PP,PAO</t>
    </r>
  </si>
  <si>
    <r>
      <t>K</t>
    </r>
    <r>
      <rPr>
        <vertAlign val="subscript"/>
        <sz val="12"/>
        <rFont val="Arial"/>
        <family val="2"/>
      </rPr>
      <t>max,PAO</t>
    </r>
  </si>
  <si>
    <r>
      <t>K</t>
    </r>
    <r>
      <rPr>
        <vertAlign val="subscript"/>
        <sz val="12"/>
        <rFont val="Arial"/>
        <family val="2"/>
      </rPr>
      <t>iPP,PAO</t>
    </r>
  </si>
  <si>
    <r>
      <t>η</t>
    </r>
    <r>
      <rPr>
        <vertAlign val="subscript"/>
        <sz val="12"/>
        <rFont val="Arial"/>
        <family val="2"/>
      </rPr>
      <t>NO,PAO</t>
    </r>
  </si>
  <si>
    <t>0.2</t>
  </si>
  <si>
    <r>
      <t>η</t>
    </r>
    <r>
      <rPr>
        <vertAlign val="subscript"/>
        <sz val="12"/>
        <rFont val="Arial"/>
        <family val="2"/>
      </rPr>
      <t>NO,end,PAO</t>
    </r>
  </si>
  <si>
    <r>
      <t>n</t>
    </r>
    <r>
      <rPr>
        <vertAlign val="subscript"/>
        <sz val="12"/>
        <rFont val="Arial"/>
        <family val="2"/>
      </rPr>
      <t>mPAO</t>
    </r>
  </si>
  <si>
    <r>
      <t>η</t>
    </r>
    <r>
      <rPr>
        <vertAlign val="subscript"/>
        <sz val="12"/>
        <rFont val="Arial"/>
        <family val="2"/>
      </rPr>
      <t>NO,lys,PP</t>
    </r>
  </si>
  <si>
    <r>
      <t>n</t>
    </r>
    <r>
      <rPr>
        <vertAlign val="subscript"/>
        <sz val="12"/>
        <rFont val="Arial"/>
        <family val="2"/>
      </rPr>
      <t>bPP_PO4</t>
    </r>
  </si>
  <si>
    <r>
      <t>η</t>
    </r>
    <r>
      <rPr>
        <vertAlign val="subscript"/>
        <sz val="12"/>
        <rFont val="Arial"/>
        <family val="2"/>
      </rPr>
      <t>NO,resp,PHA</t>
    </r>
  </si>
  <si>
    <r>
      <t>n</t>
    </r>
    <r>
      <rPr>
        <vertAlign val="subscript"/>
        <sz val="12"/>
        <rFont val="Arial"/>
        <family val="2"/>
      </rPr>
      <t>bPHA_Ac</t>
    </r>
  </si>
  <si>
    <r>
      <t>K</t>
    </r>
    <r>
      <rPr>
        <vertAlign val="subscript"/>
        <sz val="12"/>
        <rFont val="Arial"/>
        <family val="2"/>
      </rPr>
      <t>SS,PAO</t>
    </r>
  </si>
  <si>
    <r>
      <t>K</t>
    </r>
    <r>
      <rPr>
        <vertAlign val="subscript"/>
        <sz val="12"/>
        <rFont val="Arial"/>
        <family val="2"/>
      </rPr>
      <t>SB,PAO</t>
    </r>
  </si>
  <si>
    <r>
      <t>K</t>
    </r>
    <r>
      <rPr>
        <vertAlign val="subscript"/>
        <sz val="12"/>
        <rFont val="Arial"/>
        <family val="2"/>
      </rPr>
      <t>O,PAO</t>
    </r>
  </si>
  <si>
    <r>
      <t>K</t>
    </r>
    <r>
      <rPr>
        <vertAlign val="subscript"/>
        <sz val="12"/>
        <rFont val="Arial"/>
        <family val="2"/>
      </rPr>
      <t>NO,PAO</t>
    </r>
  </si>
  <si>
    <r>
      <t>K</t>
    </r>
    <r>
      <rPr>
        <vertAlign val="subscript"/>
        <sz val="12"/>
        <rFont val="Arial"/>
        <family val="2"/>
      </rPr>
      <t>NH,PAO</t>
    </r>
  </si>
  <si>
    <r>
      <t>K</t>
    </r>
    <r>
      <rPr>
        <vertAlign val="subscript"/>
        <sz val="12"/>
        <rFont val="Arial"/>
        <family val="2"/>
      </rPr>
      <t>PO4,PP</t>
    </r>
  </si>
  <si>
    <r>
      <t>K</t>
    </r>
    <r>
      <rPr>
        <vertAlign val="subscript"/>
        <sz val="12"/>
        <rFont val="Arial"/>
        <family val="2"/>
      </rPr>
      <t>PO4,PAO</t>
    </r>
  </si>
  <si>
    <r>
      <t>K</t>
    </r>
    <r>
      <rPr>
        <vertAlign val="subscript"/>
        <sz val="12"/>
        <rFont val="Arial"/>
        <family val="2"/>
      </rPr>
      <t>HCO,PAO</t>
    </r>
  </si>
  <si>
    <t>0.9 - 1.8</t>
  </si>
  <si>
    <r>
      <t>m</t>
    </r>
    <r>
      <rPr>
        <vertAlign val="subscript"/>
        <sz val="12"/>
        <rFont val="Arial"/>
        <family val="2"/>
      </rPr>
      <t>ANO</t>
    </r>
  </si>
  <si>
    <r>
      <t>η</t>
    </r>
    <r>
      <rPr>
        <vertAlign val="subscript"/>
        <sz val="12"/>
        <rFont val="Arial"/>
        <family val="2"/>
      </rPr>
      <t>NO,end,A</t>
    </r>
  </si>
  <si>
    <r>
      <t>n</t>
    </r>
    <r>
      <rPr>
        <vertAlign val="subscript"/>
        <sz val="12"/>
        <rFont val="Arial"/>
        <family val="2"/>
      </rPr>
      <t>mANO</t>
    </r>
  </si>
  <si>
    <r>
      <t>K</t>
    </r>
    <r>
      <rPr>
        <vertAlign val="subscript"/>
        <sz val="12"/>
        <rFont val="Arial"/>
        <family val="2"/>
      </rPr>
      <t>NH,A</t>
    </r>
  </si>
  <si>
    <t>1-2</t>
  </si>
  <si>
    <r>
      <t>K</t>
    </r>
    <r>
      <rPr>
        <vertAlign val="subscript"/>
        <sz val="12"/>
        <rFont val="Arial"/>
        <family val="2"/>
      </rPr>
      <t>PO4,A</t>
    </r>
  </si>
  <si>
    <r>
      <t>K</t>
    </r>
    <r>
      <rPr>
        <vertAlign val="subscript"/>
        <sz val="12"/>
        <rFont val="Arial"/>
        <family val="2"/>
      </rPr>
      <t>HCO,A</t>
    </r>
  </si>
  <si>
    <t>ASM2d + TUD</t>
  </si>
  <si>
    <t>Meijer, S. C. F. (2004). Theoretical and practical aspects of modelling activated sludge processes. Department of Biotechnological Engineering. Delft University of Technology, The Netherlands: 218</t>
  </si>
  <si>
    <t>* Meijer, S. C. F. (2004). Theoretical and practical aspects of modelling activated sludge processes. Department of Biotechnological Engineering. Delft University of Technology, The Netherlands: 218</t>
  </si>
  <si>
    <t>Parameter**</t>
  </si>
  <si>
    <r>
      <t>S</t>
    </r>
    <r>
      <rPr>
        <vertAlign val="subscript"/>
        <sz val="12"/>
        <color indexed="8"/>
        <rFont val="Arial"/>
        <family val="2"/>
      </rPr>
      <t>PO</t>
    </r>
  </si>
  <si>
    <r>
      <t>S</t>
    </r>
    <r>
      <rPr>
        <vertAlign val="subscript"/>
        <sz val="12"/>
        <color indexed="8"/>
        <rFont val="Arial"/>
        <family val="2"/>
      </rPr>
      <t>HCO</t>
    </r>
  </si>
  <si>
    <r>
      <t>X</t>
    </r>
    <r>
      <rPr>
        <vertAlign val="subscript"/>
        <sz val="12"/>
        <color indexed="8"/>
        <rFont val="Arial"/>
        <family val="2"/>
      </rPr>
      <t>i</t>
    </r>
  </si>
  <si>
    <r>
      <t>X</t>
    </r>
    <r>
      <rPr>
        <vertAlign val="subscript"/>
        <sz val="12"/>
        <color indexed="8"/>
        <rFont val="Arial"/>
        <family val="2"/>
      </rPr>
      <t>GLY</t>
    </r>
  </si>
  <si>
    <r>
      <t>X</t>
    </r>
    <r>
      <rPr>
        <vertAlign val="subscript"/>
        <sz val="12"/>
        <color indexed="8"/>
        <rFont val="Arial"/>
        <family val="2"/>
      </rPr>
      <t>A</t>
    </r>
  </si>
  <si>
    <r>
      <t>S</t>
    </r>
    <r>
      <rPr>
        <vertAlign val="subscript"/>
        <sz val="11"/>
        <rFont val="Arial"/>
        <family val="2"/>
      </rPr>
      <t>F</t>
    </r>
  </si>
  <si>
    <r>
      <t>S</t>
    </r>
    <r>
      <rPr>
        <vertAlign val="subscript"/>
        <sz val="11"/>
        <rFont val="Arial"/>
        <family val="2"/>
      </rPr>
      <t>Ac</t>
    </r>
  </si>
  <si>
    <r>
      <t>S</t>
    </r>
    <r>
      <rPr>
        <vertAlign val="subscript"/>
        <sz val="11"/>
        <rFont val="Arial"/>
        <family val="2"/>
      </rPr>
      <t>U</t>
    </r>
  </si>
  <si>
    <r>
      <t>S</t>
    </r>
    <r>
      <rPr>
        <vertAlign val="subscript"/>
        <sz val="11"/>
        <rFont val="Arial"/>
        <family val="2"/>
      </rPr>
      <t>O2</t>
    </r>
  </si>
  <si>
    <r>
      <t>XC</t>
    </r>
    <r>
      <rPr>
        <vertAlign val="subscript"/>
        <sz val="11"/>
        <rFont val="Arial"/>
        <family val="2"/>
      </rPr>
      <t>B</t>
    </r>
  </si>
  <si>
    <r>
      <t>X</t>
    </r>
    <r>
      <rPr>
        <vertAlign val="subscript"/>
        <sz val="11"/>
        <rFont val="Arial"/>
        <family val="2"/>
      </rPr>
      <t>U</t>
    </r>
  </si>
  <si>
    <r>
      <t>S</t>
    </r>
    <r>
      <rPr>
        <vertAlign val="subscript"/>
        <sz val="11"/>
        <rFont val="Arial"/>
        <family val="2"/>
      </rPr>
      <t>NHx</t>
    </r>
  </si>
  <si>
    <r>
      <t>S</t>
    </r>
    <r>
      <rPr>
        <vertAlign val="subscript"/>
        <sz val="11"/>
        <rFont val="Arial"/>
        <family val="2"/>
      </rPr>
      <t>NOx</t>
    </r>
  </si>
  <si>
    <r>
      <t>S</t>
    </r>
    <r>
      <rPr>
        <vertAlign val="subscript"/>
        <sz val="11"/>
        <rFont val="Arial"/>
        <family val="2"/>
      </rPr>
      <t>N2</t>
    </r>
  </si>
  <si>
    <r>
      <t>f</t>
    </r>
    <r>
      <rPr>
        <vertAlign val="subscript"/>
        <sz val="12"/>
        <color indexed="8"/>
        <rFont val="Arial"/>
        <family val="2"/>
      </rPr>
      <t>XI,H</t>
    </r>
  </si>
  <si>
    <r>
      <t>S</t>
    </r>
    <r>
      <rPr>
        <vertAlign val="subscript"/>
        <sz val="12"/>
        <rFont val="Arial"/>
        <family val="2"/>
      </rPr>
      <t>PO</t>
    </r>
  </si>
  <si>
    <r>
      <t>S</t>
    </r>
    <r>
      <rPr>
        <vertAlign val="subscript"/>
        <sz val="11"/>
        <rFont val="Arial"/>
        <family val="2"/>
      </rPr>
      <t>PO4</t>
    </r>
  </si>
  <si>
    <r>
      <t>Y</t>
    </r>
    <r>
      <rPr>
        <vertAlign val="subscript"/>
        <sz val="12"/>
        <color indexed="8"/>
        <rFont val="Arial"/>
        <family val="2"/>
      </rPr>
      <t>PO,AN</t>
    </r>
  </si>
  <si>
    <r>
      <t>Y</t>
    </r>
    <r>
      <rPr>
        <vertAlign val="subscript"/>
        <sz val="12"/>
        <color indexed="8"/>
        <rFont val="Arial"/>
        <family val="2"/>
      </rPr>
      <t>SA,AN</t>
    </r>
  </si>
  <si>
    <r>
      <t>X</t>
    </r>
    <r>
      <rPr>
        <vertAlign val="subscript"/>
        <sz val="11"/>
        <rFont val="Arial"/>
        <family val="2"/>
      </rPr>
      <t>OHO</t>
    </r>
  </si>
  <si>
    <t>Anaerobic Maintenance</t>
  </si>
  <si>
    <r>
      <t>X</t>
    </r>
    <r>
      <rPr>
        <vertAlign val="subscript"/>
        <sz val="11"/>
        <rFont val="Arial"/>
        <family val="2"/>
      </rPr>
      <t>ANO</t>
    </r>
  </si>
  <si>
    <r>
      <t>Y</t>
    </r>
    <r>
      <rPr>
        <vertAlign val="subscript"/>
        <sz val="12"/>
        <color indexed="8"/>
        <rFont val="Arial"/>
        <family val="2"/>
      </rPr>
      <t>PO,NO</t>
    </r>
  </si>
  <si>
    <r>
      <t>Y</t>
    </r>
    <r>
      <rPr>
        <vertAlign val="subscript"/>
        <sz val="12"/>
        <color indexed="8"/>
        <rFont val="Arial"/>
        <family val="2"/>
      </rPr>
      <t>SA,NO</t>
    </r>
  </si>
  <si>
    <r>
      <t>X</t>
    </r>
    <r>
      <rPr>
        <vertAlign val="subscript"/>
        <sz val="11"/>
        <rFont val="Arial"/>
        <family val="2"/>
      </rPr>
      <t>PAO</t>
    </r>
  </si>
  <si>
    <t>13</t>
  </si>
  <si>
    <t>Anoxic PHA consumption</t>
  </si>
  <si>
    <r>
      <t>X</t>
    </r>
    <r>
      <rPr>
        <vertAlign val="subscript"/>
        <sz val="11"/>
        <rFont val="Arial"/>
        <family val="2"/>
      </rPr>
      <t>PAO,PHA</t>
    </r>
  </si>
  <si>
    <t>14</t>
  </si>
  <si>
    <t>Stored glycogen in PAOs</t>
  </si>
  <si>
    <r>
      <t>X</t>
    </r>
    <r>
      <rPr>
        <vertAlign val="subscript"/>
        <sz val="12"/>
        <rFont val="Arial"/>
        <family val="2"/>
      </rPr>
      <t>GLY</t>
    </r>
  </si>
  <si>
    <r>
      <t>X</t>
    </r>
    <r>
      <rPr>
        <vertAlign val="subscript"/>
        <sz val="11"/>
        <rFont val="Arial"/>
        <family val="2"/>
      </rPr>
      <t>PAO,Gly</t>
    </r>
  </si>
  <si>
    <t>15</t>
  </si>
  <si>
    <t>Anoxic glycogen formation</t>
  </si>
  <si>
    <r>
      <t>X</t>
    </r>
    <r>
      <rPr>
        <vertAlign val="subscript"/>
        <sz val="11"/>
        <rFont val="Arial"/>
        <family val="2"/>
      </rPr>
      <t>PAO,PP</t>
    </r>
  </si>
  <si>
    <t>16</t>
  </si>
  <si>
    <t>Anoxic maintenance</t>
  </si>
  <si>
    <r>
      <t>S</t>
    </r>
    <r>
      <rPr>
        <vertAlign val="subscript"/>
        <sz val="11"/>
        <rFont val="Arial"/>
        <family val="2"/>
      </rPr>
      <t>Alk</t>
    </r>
  </si>
  <si>
    <t>17</t>
  </si>
  <si>
    <t>Aerobic PHA consumption</t>
  </si>
  <si>
    <r>
      <t>X</t>
    </r>
    <r>
      <rPr>
        <vertAlign val="subscript"/>
        <sz val="11"/>
        <rFont val="Arial"/>
        <family val="2"/>
      </rPr>
      <t>TSS</t>
    </r>
  </si>
  <si>
    <t>18</t>
  </si>
  <si>
    <r>
      <t>f</t>
    </r>
    <r>
      <rPr>
        <vertAlign val="subscript"/>
        <sz val="11"/>
        <rFont val="Arial"/>
        <family val="2"/>
      </rPr>
      <t>SU_XCB,hyd</t>
    </r>
  </si>
  <si>
    <t>19</t>
  </si>
  <si>
    <t>Aerobic glycogen formation</t>
  </si>
  <si>
    <t>20</t>
  </si>
  <si>
    <t>Aerobic maintenance</t>
  </si>
  <si>
    <r>
      <t>f</t>
    </r>
    <r>
      <rPr>
        <vertAlign val="subscript"/>
        <sz val="12"/>
        <rFont val="Arial"/>
        <family val="2"/>
      </rPr>
      <t>XI,H</t>
    </r>
  </si>
  <si>
    <r>
      <t>f</t>
    </r>
    <r>
      <rPr>
        <vertAlign val="subscript"/>
        <sz val="12"/>
        <rFont val="Arial"/>
        <family val="2"/>
      </rPr>
      <t>XU_OHO,lys</t>
    </r>
  </si>
  <si>
    <t>21</t>
  </si>
  <si>
    <t>* Corresponding author (E-mail: Sylvie.gillot@cemagref.fr)</t>
  </si>
  <si>
    <t xml:space="preserve">Abstract </t>
  </si>
  <si>
    <t>Reference:</t>
  </si>
  <si>
    <t>ASM1</t>
  </si>
  <si>
    <t>Parameters</t>
  </si>
  <si>
    <t>Original publication</t>
  </si>
  <si>
    <t xml:space="preserve"> Henze M., Grady C. P. L. Jr, Gujer W., Marais G. v. R. and Matsuo T. (2000) Activated Sludge Model No. 1, IWA Publishing, Scientific and Technical Report No. 9, London IWA.</t>
  </si>
  <si>
    <t>* Henze M., Grady C. P. L. Jr, Gujer W., Marais G. v. R. and Matsuo T. (2000) Activated Sludge Model No. 1, IWA Publishing, Scientific and Technical Report No. 9, London IWA.</t>
  </si>
  <si>
    <t>Corrections</t>
  </si>
  <si>
    <r>
      <t xml:space="preserve">added term     </t>
    </r>
    <r>
      <rPr>
        <b/>
        <sz val="14"/>
        <color indexed="57"/>
        <rFont val="Arial"/>
        <family val="2"/>
      </rPr>
      <t xml:space="preserve">corrected term    </t>
    </r>
    <r>
      <rPr>
        <b/>
        <sz val="14"/>
        <color indexed="12"/>
        <rFont val="Arial"/>
        <family val="2"/>
      </rPr>
      <t xml:space="preserve"> term to be careful with</t>
    </r>
  </si>
  <si>
    <t>Corrected Matrix: Original Notation</t>
  </si>
  <si>
    <t>Parameter **</t>
  </si>
  <si>
    <t>Standardised notation</t>
  </si>
  <si>
    <t>unit</t>
  </si>
  <si>
    <t>Value*
T=20°C</t>
  </si>
  <si>
    <r>
      <t>S</t>
    </r>
    <r>
      <rPr>
        <vertAlign val="subscript"/>
        <sz val="12"/>
        <color indexed="8"/>
        <rFont val="Arial"/>
        <family val="2"/>
      </rPr>
      <t>I</t>
    </r>
  </si>
  <si>
    <r>
      <t>S</t>
    </r>
    <r>
      <rPr>
        <vertAlign val="subscript"/>
        <sz val="12"/>
        <color indexed="8"/>
        <rFont val="Arial"/>
        <family val="2"/>
      </rPr>
      <t>S</t>
    </r>
  </si>
  <si>
    <r>
      <t>X</t>
    </r>
    <r>
      <rPr>
        <vertAlign val="subscript"/>
        <sz val="12"/>
        <color indexed="8"/>
        <rFont val="Arial"/>
        <family val="2"/>
      </rPr>
      <t>I</t>
    </r>
  </si>
  <si>
    <r>
      <t>X</t>
    </r>
    <r>
      <rPr>
        <vertAlign val="subscript"/>
        <sz val="12"/>
        <color indexed="8"/>
        <rFont val="Arial"/>
        <family val="2"/>
      </rPr>
      <t>S</t>
    </r>
  </si>
  <si>
    <r>
      <t>X</t>
    </r>
    <r>
      <rPr>
        <vertAlign val="subscript"/>
        <sz val="12"/>
        <color indexed="8"/>
        <rFont val="Arial"/>
        <family val="2"/>
      </rPr>
      <t>B,H</t>
    </r>
  </si>
  <si>
    <r>
      <t>X</t>
    </r>
    <r>
      <rPr>
        <vertAlign val="subscript"/>
        <sz val="12"/>
        <color indexed="8"/>
        <rFont val="Arial"/>
        <family val="2"/>
      </rPr>
      <t>B,A</t>
    </r>
  </si>
  <si>
    <r>
      <t>X</t>
    </r>
    <r>
      <rPr>
        <vertAlign val="subscript"/>
        <sz val="12"/>
        <color indexed="8"/>
        <rFont val="Arial"/>
        <family val="2"/>
      </rPr>
      <t>P</t>
    </r>
  </si>
  <si>
    <r>
      <t>S</t>
    </r>
    <r>
      <rPr>
        <vertAlign val="subscript"/>
        <sz val="12"/>
        <color indexed="8"/>
        <rFont val="Arial"/>
        <family val="2"/>
      </rPr>
      <t>O</t>
    </r>
  </si>
  <si>
    <r>
      <t>S</t>
    </r>
    <r>
      <rPr>
        <vertAlign val="subscript"/>
        <sz val="12"/>
        <color indexed="8"/>
        <rFont val="Arial"/>
        <family val="2"/>
      </rPr>
      <t>NO</t>
    </r>
  </si>
  <si>
    <r>
      <t>S</t>
    </r>
    <r>
      <rPr>
        <vertAlign val="subscript"/>
        <sz val="12"/>
        <color indexed="8"/>
        <rFont val="Arial"/>
        <family val="2"/>
      </rPr>
      <t>NH</t>
    </r>
  </si>
  <si>
    <r>
      <t>S</t>
    </r>
    <r>
      <rPr>
        <vertAlign val="subscript"/>
        <sz val="12"/>
        <color indexed="8"/>
        <rFont val="Arial"/>
        <family val="2"/>
      </rPr>
      <t>ND</t>
    </r>
  </si>
  <si>
    <r>
      <t>X</t>
    </r>
    <r>
      <rPr>
        <vertAlign val="subscript"/>
        <sz val="12"/>
        <color indexed="8"/>
        <rFont val="Arial"/>
        <family val="2"/>
      </rPr>
      <t>ND</t>
    </r>
  </si>
  <si>
    <r>
      <t>S</t>
    </r>
    <r>
      <rPr>
        <vertAlign val="subscript"/>
        <sz val="12"/>
        <color indexed="8"/>
        <rFont val="Arial"/>
        <family val="2"/>
      </rPr>
      <t>ALK</t>
    </r>
  </si>
  <si>
    <r>
      <t>S</t>
    </r>
    <r>
      <rPr>
        <vertAlign val="subscript"/>
        <sz val="12"/>
        <color indexed="10"/>
        <rFont val="Arial"/>
        <family val="2"/>
      </rPr>
      <t>N2</t>
    </r>
  </si>
  <si>
    <t>Pocess rate</t>
  </si>
  <si>
    <t>State Variables</t>
  </si>
  <si>
    <t>Soluble biodegradable organics</t>
  </si>
  <si>
    <r>
      <t>S</t>
    </r>
    <r>
      <rPr>
        <vertAlign val="subscript"/>
        <sz val="12"/>
        <rFont val="Arial"/>
        <family val="2"/>
      </rPr>
      <t>S</t>
    </r>
  </si>
  <si>
    <r>
      <t>S</t>
    </r>
    <r>
      <rPr>
        <vertAlign val="subscript"/>
        <sz val="12"/>
        <rFont val="Arial"/>
        <family val="2"/>
      </rPr>
      <t>B</t>
    </r>
  </si>
  <si>
    <r>
      <t>g COD.m</t>
    </r>
    <r>
      <rPr>
        <vertAlign val="superscript"/>
        <sz val="8"/>
        <rFont val="Arial"/>
        <family val="2"/>
      </rPr>
      <t>-3</t>
    </r>
  </si>
  <si>
    <t>Aerobic growth of heterotrophs</t>
  </si>
  <si>
    <t>Soluble undegradable organics</t>
  </si>
  <si>
    <r>
      <t>S</t>
    </r>
    <r>
      <rPr>
        <vertAlign val="subscript"/>
        <sz val="12"/>
        <rFont val="Arial"/>
        <family val="2"/>
      </rPr>
      <t>I</t>
    </r>
  </si>
  <si>
    <r>
      <t>S</t>
    </r>
    <r>
      <rPr>
        <vertAlign val="subscript"/>
        <sz val="12"/>
        <rFont val="Arial"/>
        <family val="2"/>
      </rPr>
      <t>U</t>
    </r>
  </si>
  <si>
    <t>Anoxic growth of heterotrophs</t>
  </si>
  <si>
    <t>Dissolved oxygen</t>
  </si>
  <si>
    <r>
      <t>S</t>
    </r>
    <r>
      <rPr>
        <vertAlign val="subscript"/>
        <sz val="12"/>
        <rFont val="Arial"/>
        <family val="2"/>
      </rPr>
      <t>O</t>
    </r>
  </si>
  <si>
    <r>
      <t>S</t>
    </r>
    <r>
      <rPr>
        <vertAlign val="subscript"/>
        <sz val="12"/>
        <rFont val="Arial"/>
        <family val="2"/>
      </rPr>
      <t>O2</t>
    </r>
  </si>
  <si>
    <r>
      <t>- g COD.m</t>
    </r>
    <r>
      <rPr>
        <vertAlign val="superscript"/>
        <sz val="8"/>
        <rFont val="Arial"/>
        <family val="2"/>
      </rPr>
      <t>-3</t>
    </r>
  </si>
  <si>
    <t>Aerobic growth of autotrophs</t>
  </si>
  <si>
    <t>Particulate biodegradable organics</t>
  </si>
  <si>
    <r>
      <t>X</t>
    </r>
    <r>
      <rPr>
        <vertAlign val="subscript"/>
        <sz val="12"/>
        <rFont val="Arial"/>
        <family val="2"/>
      </rPr>
      <t>S</t>
    </r>
  </si>
  <si>
    <r>
      <t>XC</t>
    </r>
    <r>
      <rPr>
        <vertAlign val="subscript"/>
        <sz val="12"/>
        <rFont val="Arial"/>
        <family val="2"/>
      </rPr>
      <t>B</t>
    </r>
  </si>
  <si>
    <t>Decay of heterotrophs</t>
  </si>
  <si>
    <r>
      <t>f</t>
    </r>
    <r>
      <rPr>
        <vertAlign val="subscript"/>
        <sz val="12"/>
        <rFont val="Arial"/>
        <family val="2"/>
      </rPr>
      <t>P</t>
    </r>
  </si>
  <si>
    <t>Particulate undegradable organics from the influent</t>
  </si>
  <si>
    <r>
      <t>X</t>
    </r>
    <r>
      <rPr>
        <vertAlign val="subscript"/>
        <sz val="12"/>
        <rFont val="Arial"/>
        <family val="2"/>
      </rPr>
      <t>I</t>
    </r>
  </si>
  <si>
    <r>
      <t>X</t>
    </r>
    <r>
      <rPr>
        <vertAlign val="subscript"/>
        <sz val="12"/>
        <rFont val="Arial"/>
        <family val="2"/>
      </rPr>
      <t>U,Inf</t>
    </r>
  </si>
  <si>
    <t>Decay of autotrophs</t>
  </si>
  <si>
    <t>Particulate undegradable endogenous products</t>
  </si>
  <si>
    <r>
      <t>X</t>
    </r>
    <r>
      <rPr>
        <vertAlign val="subscript"/>
        <sz val="12"/>
        <rFont val="Arial"/>
        <family val="2"/>
      </rPr>
      <t>P</t>
    </r>
  </si>
  <si>
    <r>
      <t>X</t>
    </r>
    <r>
      <rPr>
        <vertAlign val="subscript"/>
        <sz val="12"/>
        <rFont val="Arial"/>
        <family val="2"/>
      </rPr>
      <t>U,E</t>
    </r>
  </si>
  <si>
    <t>Ammonification of soluble organic Nitrogen</t>
  </si>
  <si>
    <r>
      <t>i</t>
    </r>
    <r>
      <rPr>
        <vertAlign val="subscript"/>
        <sz val="12"/>
        <rFont val="Arial"/>
        <family val="2"/>
      </rPr>
      <t>Charge_NHx</t>
    </r>
  </si>
  <si>
    <r>
      <t>S</t>
    </r>
    <r>
      <rPr>
        <vertAlign val="subscript"/>
        <sz val="12"/>
        <rFont val="Arial"/>
        <family val="2"/>
      </rPr>
      <t>NH</t>
    </r>
  </si>
  <si>
    <r>
      <t>S</t>
    </r>
    <r>
      <rPr>
        <vertAlign val="subscript"/>
        <sz val="12"/>
        <rFont val="Arial"/>
        <family val="2"/>
      </rPr>
      <t>NHx</t>
    </r>
  </si>
  <si>
    <r>
      <t>g N.m</t>
    </r>
    <r>
      <rPr>
        <vertAlign val="superscript"/>
        <sz val="8"/>
        <rFont val="Arial"/>
        <family val="2"/>
      </rPr>
      <t>-3</t>
    </r>
  </si>
  <si>
    <t>Hydrolysis of entrapped organics</t>
  </si>
  <si>
    <r>
      <t>S</t>
    </r>
    <r>
      <rPr>
        <vertAlign val="subscript"/>
        <sz val="12"/>
        <rFont val="Arial"/>
        <family val="2"/>
      </rPr>
      <t>NO</t>
    </r>
  </si>
  <si>
    <r>
      <t>S</t>
    </r>
    <r>
      <rPr>
        <vertAlign val="subscript"/>
        <sz val="12"/>
        <rFont val="Arial"/>
        <family val="2"/>
      </rPr>
      <t>NOx</t>
    </r>
  </si>
  <si>
    <t>Hydrolysis of entrapped organic nitrogen</t>
  </si>
  <si>
    <t>Particulate biodegradable organic N</t>
  </si>
  <si>
    <r>
      <t>X</t>
    </r>
    <r>
      <rPr>
        <vertAlign val="subscript"/>
        <sz val="12"/>
        <rFont val="Arial"/>
        <family val="2"/>
      </rPr>
      <t>ND</t>
    </r>
  </si>
  <si>
    <r>
      <t>XC</t>
    </r>
    <r>
      <rPr>
        <vertAlign val="subscript"/>
        <sz val="12"/>
        <rFont val="Arial"/>
        <family val="2"/>
      </rPr>
      <t>B,N</t>
    </r>
  </si>
  <si>
    <t>Composition Matrix</t>
  </si>
  <si>
    <t>Soluble biodegradable organic N</t>
  </si>
  <si>
    <r>
      <t>S</t>
    </r>
    <r>
      <rPr>
        <vertAlign val="subscript"/>
        <sz val="12"/>
        <rFont val="Arial"/>
        <family val="2"/>
      </rPr>
      <t>ND</t>
    </r>
  </si>
  <si>
    <r>
      <t>S</t>
    </r>
    <r>
      <rPr>
        <vertAlign val="subscript"/>
        <sz val="12"/>
        <rFont val="Arial"/>
        <family val="2"/>
      </rPr>
      <t>B,N</t>
    </r>
  </si>
  <si>
    <t>COD</t>
  </si>
  <si>
    <r>
      <t>i</t>
    </r>
    <r>
      <rPr>
        <vertAlign val="subscript"/>
        <sz val="12"/>
        <color indexed="8"/>
        <rFont val="Arial"/>
        <family val="2"/>
      </rPr>
      <t>COD_NOx</t>
    </r>
  </si>
  <si>
    <r>
      <t>i</t>
    </r>
    <r>
      <rPr>
        <vertAlign val="subscript"/>
        <sz val="12"/>
        <color indexed="10"/>
        <rFont val="Arial"/>
        <family val="2"/>
      </rPr>
      <t>COD_N2</t>
    </r>
  </si>
  <si>
    <t>Ordinary heterotrophic organisms</t>
  </si>
  <si>
    <r>
      <t>X</t>
    </r>
    <r>
      <rPr>
        <vertAlign val="subscript"/>
        <sz val="12"/>
        <rFont val="Arial"/>
        <family val="2"/>
      </rPr>
      <t>B,H</t>
    </r>
  </si>
  <si>
    <r>
      <t>X</t>
    </r>
    <r>
      <rPr>
        <vertAlign val="subscript"/>
        <sz val="12"/>
        <rFont val="Arial"/>
        <family val="2"/>
      </rPr>
      <t>OHO</t>
    </r>
  </si>
  <si>
    <t>N</t>
  </si>
  <si>
    <r>
      <t>i</t>
    </r>
    <r>
      <rPr>
        <vertAlign val="subscript"/>
        <sz val="12"/>
        <color indexed="8"/>
        <rFont val="Arial"/>
        <family val="2"/>
      </rPr>
      <t>XB</t>
    </r>
  </si>
  <si>
    <r>
      <t>i</t>
    </r>
    <r>
      <rPr>
        <vertAlign val="subscript"/>
        <sz val="12"/>
        <color indexed="8"/>
        <rFont val="Arial"/>
        <family val="2"/>
      </rPr>
      <t>XP</t>
    </r>
  </si>
  <si>
    <t>Autotrophic nitrifying organisms (NH4+ to NO3-)</t>
  </si>
  <si>
    <r>
      <t>X</t>
    </r>
    <r>
      <rPr>
        <vertAlign val="subscript"/>
        <sz val="12"/>
        <rFont val="Arial"/>
        <family val="2"/>
      </rPr>
      <t>B,A</t>
    </r>
  </si>
  <si>
    <r>
      <t>X</t>
    </r>
    <r>
      <rPr>
        <vertAlign val="subscript"/>
        <sz val="12"/>
        <rFont val="Arial"/>
        <family val="2"/>
      </rPr>
      <t>ANO</t>
    </r>
  </si>
  <si>
    <t>Charge</t>
  </si>
  <si>
    <r>
      <t>i</t>
    </r>
    <r>
      <rPr>
        <vertAlign val="subscript"/>
        <sz val="12"/>
        <color indexed="8"/>
        <rFont val="Arial"/>
        <family val="2"/>
      </rPr>
      <t>Charge_NOx</t>
    </r>
  </si>
  <si>
    <r>
      <t>i</t>
    </r>
    <r>
      <rPr>
        <vertAlign val="subscript"/>
        <sz val="12"/>
        <color indexed="8"/>
        <rFont val="Arial"/>
        <family val="2"/>
      </rPr>
      <t>Charge_NHx</t>
    </r>
  </si>
  <si>
    <r>
      <t>S</t>
    </r>
    <r>
      <rPr>
        <vertAlign val="subscript"/>
        <sz val="12"/>
        <rFont val="Arial"/>
        <family val="2"/>
      </rPr>
      <t>ALK</t>
    </r>
  </si>
  <si>
    <r>
      <t>S</t>
    </r>
    <r>
      <rPr>
        <vertAlign val="subscript"/>
        <sz val="12"/>
        <rFont val="Arial"/>
        <family val="2"/>
      </rPr>
      <t>Alk</t>
    </r>
  </si>
  <si>
    <t>Stoichiometry</t>
  </si>
  <si>
    <r>
      <t>Y</t>
    </r>
    <r>
      <rPr>
        <vertAlign val="subscript"/>
        <sz val="12"/>
        <rFont val="Arial"/>
        <family val="2"/>
      </rPr>
      <t>H</t>
    </r>
  </si>
  <si>
    <r>
      <t>Y</t>
    </r>
    <r>
      <rPr>
        <vertAlign val="subscript"/>
        <sz val="12"/>
        <rFont val="Arial"/>
        <family val="2"/>
      </rPr>
      <t xml:space="preserve">OHO </t>
    </r>
  </si>
  <si>
    <r>
      <t>f</t>
    </r>
    <r>
      <rPr>
        <vertAlign val="subscript"/>
        <sz val="12"/>
        <rFont val="Arial"/>
        <family val="2"/>
      </rPr>
      <t>XU_Bio,lys</t>
    </r>
  </si>
  <si>
    <t>Corrected Matrix: Standardised Notation</t>
  </si>
  <si>
    <r>
      <t>Y</t>
    </r>
    <r>
      <rPr>
        <vertAlign val="subscript"/>
        <sz val="12"/>
        <rFont val="Arial"/>
        <family val="2"/>
      </rPr>
      <t>A</t>
    </r>
  </si>
  <si>
    <r>
      <t>Y</t>
    </r>
    <r>
      <rPr>
        <vertAlign val="subscript"/>
        <sz val="12"/>
        <rFont val="Arial"/>
        <family val="2"/>
      </rPr>
      <t xml:space="preserve">ANO </t>
    </r>
  </si>
  <si>
    <r>
      <t>i</t>
    </r>
    <r>
      <rPr>
        <vertAlign val="subscript"/>
        <sz val="12"/>
        <rFont val="Arial"/>
        <family val="2"/>
      </rPr>
      <t>XB</t>
    </r>
  </si>
  <si>
    <r>
      <t>i</t>
    </r>
    <r>
      <rPr>
        <vertAlign val="subscript"/>
        <sz val="12"/>
        <rFont val="Arial"/>
        <family val="2"/>
      </rPr>
      <t>N_XBio</t>
    </r>
  </si>
  <si>
    <r>
      <t>S</t>
    </r>
    <r>
      <rPr>
        <vertAlign val="subscript"/>
        <sz val="12"/>
        <color indexed="8"/>
        <rFont val="Arial"/>
        <family val="2"/>
      </rPr>
      <t>U</t>
    </r>
  </si>
  <si>
    <r>
      <t>S</t>
    </r>
    <r>
      <rPr>
        <vertAlign val="subscript"/>
        <sz val="12"/>
        <color indexed="8"/>
        <rFont val="Arial"/>
        <family val="2"/>
      </rPr>
      <t>B</t>
    </r>
  </si>
  <si>
    <r>
      <t>X</t>
    </r>
    <r>
      <rPr>
        <vertAlign val="subscript"/>
        <sz val="12"/>
        <color indexed="8"/>
        <rFont val="Arial"/>
        <family val="2"/>
      </rPr>
      <t>U,Inf</t>
    </r>
  </si>
  <si>
    <r>
      <t>XC</t>
    </r>
    <r>
      <rPr>
        <vertAlign val="subscript"/>
        <sz val="12"/>
        <color indexed="8"/>
        <rFont val="Arial"/>
        <family val="2"/>
      </rPr>
      <t>B</t>
    </r>
  </si>
  <si>
    <r>
      <t>X</t>
    </r>
    <r>
      <rPr>
        <vertAlign val="subscript"/>
        <sz val="12"/>
        <color indexed="8"/>
        <rFont val="Arial"/>
        <family val="2"/>
      </rPr>
      <t>OHO</t>
    </r>
  </si>
  <si>
    <r>
      <t>X</t>
    </r>
    <r>
      <rPr>
        <vertAlign val="subscript"/>
        <sz val="12"/>
        <color indexed="8"/>
        <rFont val="Arial"/>
        <family val="2"/>
      </rPr>
      <t>ANO</t>
    </r>
  </si>
  <si>
    <r>
      <t>X</t>
    </r>
    <r>
      <rPr>
        <vertAlign val="subscript"/>
        <sz val="12"/>
        <color indexed="8"/>
        <rFont val="Arial"/>
        <family val="2"/>
      </rPr>
      <t>U,E</t>
    </r>
  </si>
  <si>
    <r>
      <t>S</t>
    </r>
    <r>
      <rPr>
        <vertAlign val="subscript"/>
        <sz val="12"/>
        <color indexed="8"/>
        <rFont val="Arial"/>
        <family val="2"/>
      </rPr>
      <t>O2</t>
    </r>
  </si>
  <si>
    <r>
      <t>S</t>
    </r>
    <r>
      <rPr>
        <vertAlign val="subscript"/>
        <sz val="12"/>
        <color indexed="8"/>
        <rFont val="Arial"/>
        <family val="2"/>
      </rPr>
      <t>NO3</t>
    </r>
  </si>
  <si>
    <r>
      <t>S</t>
    </r>
    <r>
      <rPr>
        <vertAlign val="subscript"/>
        <sz val="12"/>
        <color indexed="8"/>
        <rFont val="Arial"/>
        <family val="2"/>
      </rPr>
      <t>NHX</t>
    </r>
  </si>
  <si>
    <r>
      <t>S</t>
    </r>
    <r>
      <rPr>
        <vertAlign val="subscript"/>
        <sz val="12"/>
        <color indexed="8"/>
        <rFont val="Arial"/>
        <family val="2"/>
      </rPr>
      <t>B,N</t>
    </r>
  </si>
  <si>
    <r>
      <t>XC</t>
    </r>
    <r>
      <rPr>
        <vertAlign val="subscript"/>
        <sz val="12"/>
        <color indexed="8"/>
        <rFont val="Arial"/>
        <family val="2"/>
      </rPr>
      <t>B,N</t>
    </r>
  </si>
  <si>
    <r>
      <t>S</t>
    </r>
    <r>
      <rPr>
        <vertAlign val="subscript"/>
        <sz val="12"/>
        <color indexed="8"/>
        <rFont val="Arial"/>
        <family val="2"/>
      </rPr>
      <t>Alk</t>
    </r>
  </si>
  <si>
    <t>N content of products from biomass</t>
  </si>
  <si>
    <r>
      <t>i</t>
    </r>
    <r>
      <rPr>
        <vertAlign val="subscript"/>
        <sz val="12"/>
        <rFont val="Arial"/>
        <family val="2"/>
      </rPr>
      <t>XP</t>
    </r>
  </si>
  <si>
    <r>
      <t>i</t>
    </r>
    <r>
      <rPr>
        <vertAlign val="subscript"/>
        <sz val="12"/>
        <rFont val="Arial"/>
        <family val="2"/>
      </rPr>
      <t>N_XUE</t>
    </r>
  </si>
  <si>
    <r>
      <t>i</t>
    </r>
    <r>
      <rPr>
        <vertAlign val="subscript"/>
        <sz val="12"/>
        <rFont val="Arial"/>
        <family val="2"/>
      </rPr>
      <t>NOx,N2</t>
    </r>
  </si>
  <si>
    <r>
      <t>g COD.g N</t>
    </r>
    <r>
      <rPr>
        <vertAlign val="superscript"/>
        <sz val="8"/>
        <color indexed="8"/>
        <rFont val="Arial"/>
        <family val="2"/>
      </rPr>
      <t>-1</t>
    </r>
  </si>
  <si>
    <r>
      <t>i</t>
    </r>
    <r>
      <rPr>
        <vertAlign val="subscript"/>
        <sz val="12"/>
        <rFont val="Arial"/>
        <family val="2"/>
      </rPr>
      <t>COD_NOx</t>
    </r>
  </si>
  <si>
    <r>
      <t>i</t>
    </r>
    <r>
      <rPr>
        <vertAlign val="subscript"/>
        <sz val="12"/>
        <rFont val="Arial"/>
        <family val="2"/>
      </rPr>
      <t>COD_N2</t>
    </r>
  </si>
  <si>
    <r>
      <t>Charge.g N</t>
    </r>
    <r>
      <rPr>
        <vertAlign val="superscript"/>
        <sz val="8"/>
        <color indexed="8"/>
        <rFont val="Arial"/>
        <family val="2"/>
      </rPr>
      <t>-1</t>
    </r>
  </si>
  <si>
    <r>
      <t>i</t>
    </r>
    <r>
      <rPr>
        <vertAlign val="subscript"/>
        <sz val="12"/>
        <rFont val="Arial"/>
        <family val="2"/>
      </rPr>
      <t>Charge_NOx</t>
    </r>
  </si>
  <si>
    <t>Kinetic</t>
  </si>
  <si>
    <t>Maximum specific hydrolysis rate</t>
  </si>
  <si>
    <r>
      <t>k</t>
    </r>
    <r>
      <rPr>
        <vertAlign val="subscript"/>
        <sz val="12"/>
        <rFont val="Arial"/>
        <family val="2"/>
      </rPr>
      <t>h</t>
    </r>
  </si>
  <si>
    <r>
      <t>q</t>
    </r>
    <r>
      <rPr>
        <vertAlign val="subscript"/>
        <sz val="12"/>
        <rFont val="Arial"/>
        <family val="2"/>
      </rPr>
      <t>XCB_SB,hyd</t>
    </r>
  </si>
  <si>
    <r>
      <t>K</t>
    </r>
    <r>
      <rPr>
        <vertAlign val="subscript"/>
        <sz val="12"/>
        <rFont val="Arial"/>
        <family val="2"/>
      </rPr>
      <t>X</t>
    </r>
  </si>
  <si>
    <r>
      <t>K</t>
    </r>
    <r>
      <rPr>
        <vertAlign val="subscript"/>
        <sz val="12"/>
        <rFont val="Arial"/>
        <family val="2"/>
      </rPr>
      <t>XCB,hyd</t>
    </r>
  </si>
  <si>
    <t>Correction factor for hydrolysis under anoxic conditions</t>
  </si>
  <si>
    <r>
      <t>η</t>
    </r>
    <r>
      <rPr>
        <vertAlign val="subscript"/>
        <sz val="12"/>
        <rFont val="Arial"/>
        <family val="2"/>
      </rPr>
      <t>h</t>
    </r>
  </si>
  <si>
    <r>
      <t>n</t>
    </r>
    <r>
      <rPr>
        <vertAlign val="subscript"/>
        <sz val="12"/>
        <rFont val="Arial"/>
        <family val="2"/>
      </rPr>
      <t>qhyd,Ax</t>
    </r>
  </si>
  <si>
    <t>-</t>
  </si>
  <si>
    <r>
      <t>Maximum growth rate of X</t>
    </r>
    <r>
      <rPr>
        <vertAlign val="subscript"/>
        <sz val="11"/>
        <rFont val="Arial"/>
        <family val="2"/>
      </rPr>
      <t>OHO</t>
    </r>
  </si>
  <si>
    <r>
      <t>μ</t>
    </r>
    <r>
      <rPr>
        <vertAlign val="subscript"/>
        <sz val="12"/>
        <rFont val="Arial"/>
        <family val="2"/>
      </rPr>
      <t>H</t>
    </r>
  </si>
  <si>
    <r>
      <t>μ</t>
    </r>
    <r>
      <rPr>
        <vertAlign val="subscript"/>
        <sz val="12"/>
        <rFont val="Arial"/>
        <family val="2"/>
      </rPr>
      <t>OHO,Max</t>
    </r>
  </si>
  <si>
    <r>
      <t>Reduction factor for anoxic growth of X</t>
    </r>
    <r>
      <rPr>
        <vertAlign val="subscript"/>
        <sz val="11"/>
        <rFont val="Arial"/>
        <family val="2"/>
      </rPr>
      <t>OHO</t>
    </r>
  </si>
  <si>
    <r>
      <t>η</t>
    </r>
    <r>
      <rPr>
        <vertAlign val="subscript"/>
        <sz val="12"/>
        <rFont val="Arial"/>
        <family val="2"/>
      </rPr>
      <t>g</t>
    </r>
  </si>
  <si>
    <r>
      <t>n</t>
    </r>
    <r>
      <rPr>
        <vertAlign val="subscript"/>
        <sz val="12"/>
        <rFont val="Arial"/>
        <family val="2"/>
      </rPr>
      <t>μOHO,Ax</t>
    </r>
  </si>
  <si>
    <r>
      <t>i</t>
    </r>
    <r>
      <rPr>
        <vertAlign val="subscript"/>
        <sz val="12"/>
        <color indexed="8"/>
        <rFont val="Arial"/>
        <family val="2"/>
      </rPr>
      <t>N_XBio</t>
    </r>
  </si>
  <si>
    <r>
      <t>i</t>
    </r>
    <r>
      <rPr>
        <vertAlign val="subscript"/>
        <sz val="12"/>
        <color indexed="8"/>
        <rFont val="Arial"/>
        <family val="2"/>
      </rPr>
      <t>N_XUE</t>
    </r>
  </si>
  <si>
    <r>
      <t>K</t>
    </r>
    <r>
      <rPr>
        <vertAlign val="subscript"/>
        <sz val="12"/>
        <rFont val="Arial"/>
        <family val="2"/>
      </rPr>
      <t>s</t>
    </r>
  </si>
  <si>
    <r>
      <t>K</t>
    </r>
    <r>
      <rPr>
        <vertAlign val="subscript"/>
        <sz val="12"/>
        <rFont val="Arial"/>
        <family val="2"/>
      </rPr>
      <t>SB,OHO</t>
    </r>
  </si>
  <si>
    <r>
      <t>b</t>
    </r>
    <r>
      <rPr>
        <vertAlign val="subscript"/>
        <sz val="12"/>
        <rFont val="Arial"/>
        <family val="2"/>
      </rPr>
      <t>H</t>
    </r>
  </si>
  <si>
    <r>
      <t>b</t>
    </r>
    <r>
      <rPr>
        <vertAlign val="subscript"/>
        <sz val="12"/>
        <rFont val="Arial"/>
        <family val="2"/>
      </rPr>
      <t>OHO</t>
    </r>
  </si>
  <si>
    <r>
      <t>K</t>
    </r>
    <r>
      <rPr>
        <vertAlign val="subscript"/>
        <sz val="12"/>
        <rFont val="Arial"/>
        <family val="2"/>
      </rPr>
      <t>O,H</t>
    </r>
  </si>
  <si>
    <r>
      <t>K</t>
    </r>
    <r>
      <rPr>
        <vertAlign val="subscript"/>
        <sz val="12"/>
        <rFont val="Arial"/>
        <family val="2"/>
      </rPr>
      <t>O2,OHO</t>
    </r>
  </si>
  <si>
    <r>
      <t>K</t>
    </r>
    <r>
      <rPr>
        <vertAlign val="subscript"/>
        <sz val="12"/>
        <rFont val="Arial"/>
        <family val="2"/>
      </rPr>
      <t>NO</t>
    </r>
  </si>
  <si>
    <r>
      <t>K</t>
    </r>
    <r>
      <rPr>
        <vertAlign val="subscript"/>
        <sz val="12"/>
        <rFont val="Arial"/>
        <family val="2"/>
      </rPr>
      <t>NOx,OHO</t>
    </r>
  </si>
  <si>
    <t>Continuity check</t>
  </si>
  <si>
    <t>Half saturation parameter for NH4*</t>
  </si>
  <si>
    <r>
      <t>K</t>
    </r>
    <r>
      <rPr>
        <vertAlign val="subscript"/>
        <sz val="12"/>
        <color indexed="10"/>
        <rFont val="Arial"/>
        <family val="2"/>
      </rPr>
      <t>NH,H</t>
    </r>
  </si>
  <si>
    <r>
      <t>K</t>
    </r>
    <r>
      <rPr>
        <vertAlign val="subscript"/>
        <sz val="12"/>
        <color indexed="10"/>
        <rFont val="Arial"/>
        <family val="2"/>
      </rPr>
      <t>NHx,OHO</t>
    </r>
  </si>
  <si>
    <r>
      <t>μ</t>
    </r>
    <r>
      <rPr>
        <vertAlign val="subscript"/>
        <sz val="12"/>
        <rFont val="Arial"/>
        <family val="2"/>
      </rPr>
      <t>A</t>
    </r>
  </si>
  <si>
    <r>
      <t>μ</t>
    </r>
    <r>
      <rPr>
        <vertAlign val="subscript"/>
        <sz val="12"/>
        <rFont val="Arial"/>
        <family val="2"/>
      </rPr>
      <t>ANO,Max</t>
    </r>
  </si>
  <si>
    <r>
      <t>b</t>
    </r>
    <r>
      <rPr>
        <vertAlign val="subscript"/>
        <sz val="12"/>
        <rFont val="Arial"/>
        <family val="2"/>
      </rPr>
      <t>A</t>
    </r>
  </si>
  <si>
    <r>
      <t>b</t>
    </r>
    <r>
      <rPr>
        <vertAlign val="subscript"/>
        <sz val="12"/>
        <rFont val="Arial"/>
        <family val="2"/>
      </rPr>
      <t>ANO</t>
    </r>
  </si>
  <si>
    <t>Rate constant for ammonification</t>
  </si>
  <si>
    <r>
      <t>k</t>
    </r>
    <r>
      <rPr>
        <vertAlign val="subscript"/>
        <sz val="12"/>
        <rFont val="Arial"/>
        <family val="2"/>
      </rPr>
      <t>a</t>
    </r>
  </si>
  <si>
    <r>
      <t>q</t>
    </r>
    <r>
      <rPr>
        <vertAlign val="subscript"/>
        <sz val="12"/>
        <rFont val="Arial"/>
        <family val="2"/>
      </rPr>
      <t>am</t>
    </r>
  </si>
  <si>
    <r>
      <t>K</t>
    </r>
    <r>
      <rPr>
        <vertAlign val="subscript"/>
        <sz val="12"/>
        <rFont val="Arial"/>
        <family val="2"/>
      </rPr>
      <t>O,A</t>
    </r>
  </si>
  <si>
    <r>
      <t>K</t>
    </r>
    <r>
      <rPr>
        <vertAlign val="subscript"/>
        <sz val="12"/>
        <rFont val="Arial"/>
        <family val="2"/>
      </rPr>
      <t>O2,ANO</t>
    </r>
  </si>
  <si>
    <r>
      <t>K</t>
    </r>
    <r>
      <rPr>
        <vertAlign val="subscript"/>
        <sz val="12"/>
        <rFont val="Arial"/>
        <family val="2"/>
      </rPr>
      <t>NH</t>
    </r>
  </si>
  <si>
    <r>
      <t>K</t>
    </r>
    <r>
      <rPr>
        <vertAlign val="subscript"/>
        <sz val="12"/>
        <rFont val="Arial"/>
        <family val="2"/>
      </rPr>
      <t>NHx,ANO</t>
    </r>
  </si>
  <si>
    <t>Kinetic checking matrix</t>
  </si>
  <si>
    <t>Component Function</t>
  </si>
  <si>
    <t>Consequence on the kinetic rate</t>
  </si>
  <si>
    <t>Consumed component (every state variable with a negative sign)</t>
  </si>
  <si>
    <t>Limitation monod function</t>
  </si>
  <si>
    <t>Biomass involved in the process</t>
  </si>
  <si>
    <t>proportional to the biomass concentration</t>
  </si>
  <si>
    <t>Other required component</t>
  </si>
  <si>
    <t>Inhibitory component</t>
  </si>
  <si>
    <t>Inhibitory monod function</t>
  </si>
  <si>
    <t xml:space="preserve">Components </t>
  </si>
  <si>
    <t>S_I</t>
  </si>
  <si>
    <t>S_S</t>
  </si>
  <si>
    <t>X_I</t>
  </si>
  <si>
    <t>X_S</t>
  </si>
  <si>
    <t>X_B.H</t>
  </si>
  <si>
    <t>X_B.A</t>
  </si>
  <si>
    <t>X_P</t>
  </si>
  <si>
    <t>S_O</t>
  </si>
  <si>
    <t>S_NO</t>
  </si>
  <si>
    <t>S_NH</t>
  </si>
  <si>
    <t>S_ND</t>
  </si>
  <si>
    <t>X_ND</t>
  </si>
  <si>
    <t>S_ALK</t>
  </si>
  <si>
    <t>S_N2</t>
  </si>
  <si>
    <t>*</t>
  </si>
  <si>
    <t>* Missing kinetic terms that have not been corrected (please refer to the article)</t>
  </si>
  <si>
    <t>ASM2d</t>
  </si>
  <si>
    <t>Henze M., Gujer W., Mino T., Matsuo T., Wentzel M. C., Marais G.v.R., and van Loosdrecht M.C.M. (2000). Activated Sludge Model No. 2d, IWA Publishing, Scientific and Technical Report No. 9, London IWA.</t>
  </si>
  <si>
    <t>* Henze M., Gujer W., Mino T., Matsuo T., Wentzel M. C., Marais G.v.R., and van Loosdrecht M.C.M. (2000). Activated Sludge Model No. 2d, IWA Publishing, Scientific and Technical Report No. 9, London IWA.</t>
  </si>
  <si>
    <r>
      <t>S</t>
    </r>
    <r>
      <rPr>
        <vertAlign val="subscript"/>
        <sz val="12"/>
        <color indexed="8"/>
        <rFont val="Arial"/>
        <family val="2"/>
      </rPr>
      <t>F</t>
    </r>
  </si>
  <si>
    <r>
      <t>S</t>
    </r>
    <r>
      <rPr>
        <vertAlign val="subscript"/>
        <sz val="12"/>
        <color indexed="8"/>
        <rFont val="Arial"/>
        <family val="2"/>
      </rPr>
      <t>A</t>
    </r>
  </si>
  <si>
    <r>
      <t>S</t>
    </r>
    <r>
      <rPr>
        <vertAlign val="subscript"/>
        <sz val="12"/>
        <color indexed="8"/>
        <rFont val="Arial"/>
        <family val="2"/>
      </rPr>
      <t>NH4</t>
    </r>
  </si>
  <si>
    <r>
      <t>S</t>
    </r>
    <r>
      <rPr>
        <vertAlign val="subscript"/>
        <sz val="12"/>
        <color indexed="8"/>
        <rFont val="Arial"/>
        <family val="2"/>
      </rPr>
      <t>PO4</t>
    </r>
  </si>
  <si>
    <r>
      <t>S</t>
    </r>
    <r>
      <rPr>
        <vertAlign val="subscript"/>
        <sz val="12"/>
        <color indexed="8"/>
        <rFont val="Arial"/>
        <family val="2"/>
      </rPr>
      <t>N2</t>
    </r>
  </si>
  <si>
    <r>
      <t>X</t>
    </r>
    <r>
      <rPr>
        <vertAlign val="subscript"/>
        <sz val="12"/>
        <color indexed="8"/>
        <rFont val="Arial"/>
        <family val="2"/>
      </rPr>
      <t>H</t>
    </r>
  </si>
  <si>
    <r>
      <t>X</t>
    </r>
    <r>
      <rPr>
        <vertAlign val="subscript"/>
        <sz val="12"/>
        <color indexed="8"/>
        <rFont val="Arial"/>
        <family val="2"/>
      </rPr>
      <t>PAO</t>
    </r>
  </si>
  <si>
    <r>
      <t>X</t>
    </r>
    <r>
      <rPr>
        <vertAlign val="subscript"/>
        <sz val="12"/>
        <color indexed="8"/>
        <rFont val="Arial"/>
        <family val="2"/>
      </rPr>
      <t>PP</t>
    </r>
  </si>
  <si>
    <r>
      <t>X</t>
    </r>
    <r>
      <rPr>
        <vertAlign val="subscript"/>
        <sz val="12"/>
        <color indexed="8"/>
        <rFont val="Arial"/>
        <family val="2"/>
      </rPr>
      <t>PHA</t>
    </r>
  </si>
  <si>
    <r>
      <t>X</t>
    </r>
    <r>
      <rPr>
        <vertAlign val="subscript"/>
        <sz val="12"/>
        <color indexed="8"/>
        <rFont val="Arial"/>
        <family val="2"/>
      </rPr>
      <t>AUT</t>
    </r>
  </si>
  <si>
    <r>
      <t>X</t>
    </r>
    <r>
      <rPr>
        <vertAlign val="subscript"/>
        <sz val="12"/>
        <color indexed="8"/>
        <rFont val="Arial"/>
        <family val="2"/>
      </rPr>
      <t>TSS</t>
    </r>
  </si>
  <si>
    <r>
      <t>X</t>
    </r>
    <r>
      <rPr>
        <vertAlign val="subscript"/>
        <sz val="12"/>
        <color indexed="8"/>
        <rFont val="Arial"/>
        <family val="2"/>
      </rPr>
      <t>MeOH</t>
    </r>
  </si>
  <si>
    <r>
      <t>X</t>
    </r>
    <r>
      <rPr>
        <vertAlign val="subscript"/>
        <sz val="12"/>
        <color indexed="8"/>
        <rFont val="Arial"/>
        <family val="2"/>
      </rPr>
      <t>MeP</t>
    </r>
  </si>
  <si>
    <t>State variables</t>
  </si>
  <si>
    <t>Fermentable organic matter</t>
  </si>
  <si>
    <r>
      <t>S</t>
    </r>
    <r>
      <rPr>
        <vertAlign val="subscript"/>
        <sz val="12"/>
        <rFont val="Arial"/>
        <family val="2"/>
      </rPr>
      <t>F</t>
    </r>
  </si>
  <si>
    <t>1</t>
  </si>
  <si>
    <t>Aerobic hydrolysis</t>
  </si>
  <si>
    <r>
      <t>f</t>
    </r>
    <r>
      <rPr>
        <vertAlign val="subscript"/>
        <sz val="12"/>
        <color indexed="8"/>
        <rFont val="Arial"/>
        <family val="2"/>
      </rPr>
      <t>SI</t>
    </r>
  </si>
  <si>
    <t>Fermentation product (considered to be acetate)</t>
  </si>
  <si>
    <r>
      <t>S</t>
    </r>
    <r>
      <rPr>
        <vertAlign val="subscript"/>
        <sz val="12"/>
        <rFont val="Arial"/>
        <family val="2"/>
      </rPr>
      <t>A</t>
    </r>
  </si>
  <si>
    <r>
      <t>S</t>
    </r>
    <r>
      <rPr>
        <vertAlign val="subscript"/>
        <sz val="12"/>
        <rFont val="Arial"/>
        <family val="2"/>
      </rPr>
      <t>Ac</t>
    </r>
  </si>
  <si>
    <t>2</t>
  </si>
  <si>
    <t>Anoxic hydrolysis</t>
  </si>
  <si>
    <t>3</t>
  </si>
  <si>
    <t>Anaerobic hydrolysis</t>
  </si>
  <si>
    <t>4</t>
  </si>
  <si>
    <r>
      <t>i</t>
    </r>
    <r>
      <rPr>
        <vertAlign val="subscript"/>
        <sz val="12"/>
        <color indexed="8"/>
        <rFont val="Arial"/>
        <family val="2"/>
      </rPr>
      <t>TSS,BM</t>
    </r>
  </si>
  <si>
    <t>5</t>
  </si>
  <si>
    <t>Particulate undegradable organics</t>
  </si>
  <si>
    <r>
      <t>X</t>
    </r>
    <r>
      <rPr>
        <vertAlign val="subscript"/>
        <sz val="12"/>
        <rFont val="Arial"/>
        <family val="2"/>
      </rPr>
      <t>U</t>
    </r>
  </si>
  <si>
    <t>6</t>
  </si>
  <si>
    <r>
      <t>S</t>
    </r>
    <r>
      <rPr>
        <vertAlign val="subscript"/>
        <sz val="12"/>
        <rFont val="Arial"/>
        <family val="2"/>
      </rPr>
      <t>NH4</t>
    </r>
  </si>
  <si>
    <t>7</t>
  </si>
  <si>
    <r>
      <t>S</t>
    </r>
    <r>
      <rPr>
        <vertAlign val="subscript"/>
        <sz val="12"/>
        <rFont val="Arial"/>
        <family val="2"/>
      </rPr>
      <t>NO3</t>
    </r>
  </si>
  <si>
    <t>8</t>
  </si>
  <si>
    <t>Fermentation</t>
  </si>
  <si>
    <t>-1</t>
  </si>
  <si>
    <r>
      <t>i</t>
    </r>
    <r>
      <rPr>
        <vertAlign val="subscript"/>
        <sz val="12"/>
        <color indexed="8"/>
        <rFont val="Arial"/>
        <family val="2"/>
      </rPr>
      <t>N,SF</t>
    </r>
  </si>
  <si>
    <r>
      <t>i</t>
    </r>
    <r>
      <rPr>
        <vertAlign val="subscript"/>
        <sz val="12"/>
        <color indexed="8"/>
        <rFont val="Arial"/>
        <family val="2"/>
      </rPr>
      <t>P,SF</t>
    </r>
  </si>
  <si>
    <t>Dissolved nitrogen gas</t>
  </si>
  <si>
    <r>
      <t>S</t>
    </r>
    <r>
      <rPr>
        <vertAlign val="subscript"/>
        <sz val="12"/>
        <rFont val="Arial"/>
        <family val="2"/>
      </rPr>
      <t>N2</t>
    </r>
  </si>
  <si>
    <t>9</t>
  </si>
  <si>
    <t>Lysis</t>
  </si>
  <si>
    <r>
      <t>f</t>
    </r>
    <r>
      <rPr>
        <vertAlign val="subscript"/>
        <sz val="12"/>
        <color indexed="8"/>
        <rFont val="Arial"/>
        <family val="2"/>
      </rPr>
      <t>XI</t>
    </r>
  </si>
  <si>
    <t xml:space="preserve">Soluble inorganic phosphorus </t>
  </si>
  <si>
    <r>
      <t>S</t>
    </r>
    <r>
      <rPr>
        <vertAlign val="subscript"/>
        <sz val="12"/>
        <rFont val="Arial"/>
        <family val="2"/>
      </rPr>
      <t>PO4</t>
    </r>
  </si>
  <si>
    <r>
      <t>g P.m</t>
    </r>
    <r>
      <rPr>
        <vertAlign val="superscript"/>
        <sz val="8"/>
        <rFont val="Arial"/>
        <family val="2"/>
      </rPr>
      <t>-3</t>
    </r>
  </si>
  <si>
    <t>10</t>
  </si>
  <si>
    <r>
      <t>Y</t>
    </r>
    <r>
      <rPr>
        <vertAlign val="subscript"/>
        <sz val="12"/>
        <color indexed="8"/>
        <rFont val="Arial"/>
        <family val="2"/>
      </rPr>
      <t>PO4</t>
    </r>
  </si>
  <si>
    <r>
      <t>X</t>
    </r>
    <r>
      <rPr>
        <vertAlign val="subscript"/>
        <sz val="12"/>
        <rFont val="Arial"/>
        <family val="2"/>
      </rPr>
      <t>H</t>
    </r>
  </si>
  <si>
    <t>11</t>
  </si>
  <si>
    <t>Autotrophic nitrifying organisms (NH4 to NO3-)</t>
  </si>
  <si>
    <r>
      <t>X</t>
    </r>
    <r>
      <rPr>
        <vertAlign val="subscript"/>
        <sz val="12"/>
        <rFont val="Arial"/>
        <family val="2"/>
      </rPr>
      <t>AUT</t>
    </r>
  </si>
  <si>
    <t>Phosphorus accumulating organisms</t>
  </si>
  <si>
    <r>
      <t>X</t>
    </r>
    <r>
      <rPr>
        <vertAlign val="subscript"/>
        <sz val="12"/>
        <rFont val="Arial"/>
        <family val="2"/>
      </rPr>
      <t>PAO</t>
    </r>
  </si>
  <si>
    <t>Storage compound in PAOs</t>
  </si>
  <si>
    <r>
      <t>X</t>
    </r>
    <r>
      <rPr>
        <vertAlign val="subscript"/>
        <sz val="12"/>
        <rFont val="Arial"/>
        <family val="2"/>
      </rPr>
      <t>PHA</t>
    </r>
  </si>
  <si>
    <r>
      <t>X</t>
    </r>
    <r>
      <rPr>
        <vertAlign val="subscript"/>
        <sz val="12"/>
        <rFont val="Arial"/>
        <family val="2"/>
      </rPr>
      <t>PAO,PHA</t>
    </r>
  </si>
  <si>
    <t>Stored polyphosphates in PAOs</t>
  </si>
  <si>
    <r>
      <t>X</t>
    </r>
    <r>
      <rPr>
        <vertAlign val="subscript"/>
        <sz val="12"/>
        <rFont val="Arial"/>
        <family val="2"/>
      </rPr>
      <t>PP</t>
    </r>
  </si>
  <si>
    <r>
      <t>X</t>
    </r>
    <r>
      <rPr>
        <vertAlign val="subscript"/>
        <sz val="12"/>
        <rFont val="Arial"/>
        <family val="2"/>
      </rPr>
      <t>PAO,PP</t>
    </r>
  </si>
  <si>
    <t>Metal hydroxide compounds</t>
  </si>
  <si>
    <r>
      <t>X</t>
    </r>
    <r>
      <rPr>
        <vertAlign val="subscript"/>
        <sz val="12"/>
        <rFont val="Arial"/>
        <family val="2"/>
      </rPr>
      <t>MeOH</t>
    </r>
  </si>
  <si>
    <r>
      <t>g TSS.m</t>
    </r>
    <r>
      <rPr>
        <vertAlign val="superscript"/>
        <sz val="8"/>
        <rFont val="Arial"/>
        <family val="2"/>
      </rPr>
      <t>-3</t>
    </r>
  </si>
  <si>
    <t>Metal phosphate compounds</t>
  </si>
  <si>
    <r>
      <t>X</t>
    </r>
    <r>
      <rPr>
        <vertAlign val="subscript"/>
        <sz val="12"/>
        <rFont val="Arial"/>
        <family val="2"/>
      </rPr>
      <t>MeP</t>
    </r>
  </si>
  <si>
    <r>
      <t>i</t>
    </r>
    <r>
      <rPr>
        <vertAlign val="subscript"/>
        <sz val="12"/>
        <color indexed="8"/>
        <rFont val="Arial"/>
        <family val="2"/>
      </rPr>
      <t>Charge_Ac</t>
    </r>
  </si>
  <si>
    <t>Total suspended solids</t>
  </si>
  <si>
    <r>
      <t>X</t>
    </r>
    <r>
      <rPr>
        <vertAlign val="subscript"/>
        <sz val="12"/>
        <rFont val="Arial"/>
        <family val="2"/>
      </rPr>
      <t>TSS</t>
    </r>
  </si>
  <si>
    <t>Fraction of inert COD generated in hydrolysis</t>
  </si>
  <si>
    <r>
      <t>f</t>
    </r>
    <r>
      <rPr>
        <vertAlign val="subscript"/>
        <sz val="12"/>
        <rFont val="Arial"/>
        <family val="2"/>
      </rPr>
      <t>SI</t>
    </r>
  </si>
  <si>
    <r>
      <t>f</t>
    </r>
    <r>
      <rPr>
        <vertAlign val="subscript"/>
        <sz val="12"/>
        <rFont val="Arial"/>
        <family val="2"/>
      </rPr>
      <t>SU_XCB,hyd</t>
    </r>
  </si>
  <si>
    <t>Precipitation</t>
  </si>
  <si>
    <r>
      <t>f</t>
    </r>
    <r>
      <rPr>
        <vertAlign val="subscript"/>
        <sz val="12"/>
        <color indexed="8"/>
        <rFont val="Arial"/>
        <family val="2"/>
      </rPr>
      <t>_MeOH_PO4.MW</t>
    </r>
  </si>
  <si>
    <r>
      <t>f</t>
    </r>
    <r>
      <rPr>
        <vertAlign val="subscript"/>
        <sz val="12"/>
        <color indexed="8"/>
        <rFont val="Arial"/>
        <family val="2"/>
      </rPr>
      <t>_MeP_PO4.MW</t>
    </r>
  </si>
  <si>
    <t>Redissolution</t>
  </si>
  <si>
    <r>
      <t>i</t>
    </r>
    <r>
      <rPr>
        <vertAlign val="subscript"/>
        <sz val="12"/>
        <color indexed="8"/>
        <rFont val="Arial"/>
        <family val="2"/>
      </rPr>
      <t>Charge_PO4</t>
    </r>
  </si>
  <si>
    <r>
      <t>f</t>
    </r>
    <r>
      <rPr>
        <vertAlign val="subscript"/>
        <sz val="12"/>
        <rFont val="Arial"/>
        <family val="2"/>
      </rPr>
      <t>XI</t>
    </r>
  </si>
  <si>
    <r>
      <t>Y</t>
    </r>
    <r>
      <rPr>
        <vertAlign val="subscript"/>
        <sz val="12"/>
        <rFont val="Arial"/>
        <family val="2"/>
      </rPr>
      <t>PAO</t>
    </r>
  </si>
  <si>
    <r>
      <t>i</t>
    </r>
    <r>
      <rPr>
        <vertAlign val="subscript"/>
        <sz val="12"/>
        <color indexed="8"/>
        <rFont val="Arial"/>
        <family val="2"/>
      </rPr>
      <t>COD_N2</t>
    </r>
  </si>
  <si>
    <r>
      <t>Y</t>
    </r>
    <r>
      <rPr>
        <vertAlign val="subscript"/>
        <sz val="12"/>
        <rFont val="Arial"/>
        <family val="2"/>
      </rPr>
      <t>PHA</t>
    </r>
  </si>
  <si>
    <r>
      <t>Y</t>
    </r>
    <r>
      <rPr>
        <vertAlign val="subscript"/>
        <sz val="12"/>
        <rFont val="Arial"/>
        <family val="2"/>
      </rPr>
      <t>PHA_PP</t>
    </r>
  </si>
  <si>
    <r>
      <t>i</t>
    </r>
    <r>
      <rPr>
        <vertAlign val="subscript"/>
        <sz val="12"/>
        <color indexed="8"/>
        <rFont val="Arial"/>
        <family val="2"/>
      </rPr>
      <t>N,SI</t>
    </r>
  </si>
  <si>
    <r>
      <t>i</t>
    </r>
    <r>
      <rPr>
        <vertAlign val="subscript"/>
        <sz val="12"/>
        <color indexed="8"/>
        <rFont val="Arial"/>
        <family val="2"/>
      </rPr>
      <t>N,XI</t>
    </r>
  </si>
  <si>
    <r>
      <t>i</t>
    </r>
    <r>
      <rPr>
        <vertAlign val="subscript"/>
        <sz val="12"/>
        <color indexed="8"/>
        <rFont val="Arial"/>
        <family val="2"/>
      </rPr>
      <t>N,XS</t>
    </r>
  </si>
  <si>
    <r>
      <t>i</t>
    </r>
    <r>
      <rPr>
        <vertAlign val="subscript"/>
        <sz val="12"/>
        <color indexed="8"/>
        <rFont val="Arial"/>
        <family val="2"/>
      </rPr>
      <t>N,BM</t>
    </r>
  </si>
  <si>
    <r>
      <t>Y</t>
    </r>
    <r>
      <rPr>
        <vertAlign val="subscript"/>
        <sz val="12"/>
        <rFont val="Arial"/>
        <family val="2"/>
      </rPr>
      <t>PO4</t>
    </r>
  </si>
  <si>
    <r>
      <t>Y</t>
    </r>
    <r>
      <rPr>
        <vertAlign val="subscript"/>
        <sz val="12"/>
        <rFont val="Arial"/>
        <family val="2"/>
      </rPr>
      <t>PP_PHA,PAO</t>
    </r>
  </si>
  <si>
    <t>P</t>
  </si>
  <si>
    <r>
      <t>i</t>
    </r>
    <r>
      <rPr>
        <vertAlign val="subscript"/>
        <sz val="12"/>
        <color indexed="8"/>
        <rFont val="Arial"/>
        <family val="2"/>
      </rPr>
      <t>P,SI</t>
    </r>
  </si>
  <si>
    <r>
      <t>i</t>
    </r>
    <r>
      <rPr>
        <vertAlign val="subscript"/>
        <sz val="12"/>
        <color indexed="8"/>
        <rFont val="Arial"/>
        <family val="2"/>
      </rPr>
      <t>P,XI</t>
    </r>
  </si>
  <si>
    <r>
      <t>i</t>
    </r>
    <r>
      <rPr>
        <vertAlign val="subscript"/>
        <sz val="12"/>
        <color indexed="8"/>
        <rFont val="Arial"/>
        <family val="2"/>
      </rPr>
      <t>P,XS</t>
    </r>
  </si>
  <si>
    <r>
      <t>i</t>
    </r>
    <r>
      <rPr>
        <vertAlign val="subscript"/>
        <sz val="12"/>
        <color indexed="8"/>
        <rFont val="Arial"/>
        <family val="2"/>
      </rPr>
      <t>P,BM</t>
    </r>
  </si>
  <si>
    <r>
      <t>i</t>
    </r>
    <r>
      <rPr>
        <vertAlign val="subscript"/>
        <sz val="12"/>
        <color indexed="8"/>
        <rFont val="Arial"/>
        <family val="2"/>
      </rPr>
      <t>P_XMeP</t>
    </r>
  </si>
  <si>
    <r>
      <t>i</t>
    </r>
    <r>
      <rPr>
        <vertAlign val="subscript"/>
        <sz val="12"/>
        <color indexed="8"/>
        <rFont val="Arial"/>
        <family val="2"/>
      </rPr>
      <t>Charge_PP</t>
    </r>
  </si>
  <si>
    <r>
      <t>f</t>
    </r>
    <r>
      <rPr>
        <vertAlign val="subscript"/>
        <sz val="12"/>
        <color indexed="8"/>
        <rFont val="Arial"/>
        <family val="2"/>
      </rPr>
      <t>MeOH_PO4,MW</t>
    </r>
  </si>
  <si>
    <t>TSS</t>
  </si>
  <si>
    <r>
      <t>i</t>
    </r>
    <r>
      <rPr>
        <vertAlign val="subscript"/>
        <sz val="12"/>
        <color indexed="8"/>
        <rFont val="Arial"/>
        <family val="2"/>
      </rPr>
      <t>TSS,XI</t>
    </r>
  </si>
  <si>
    <r>
      <t>i</t>
    </r>
    <r>
      <rPr>
        <vertAlign val="subscript"/>
        <sz val="12"/>
        <color indexed="8"/>
        <rFont val="Arial"/>
        <family val="2"/>
      </rPr>
      <t>TSS,XS</t>
    </r>
  </si>
  <si>
    <r>
      <t>i</t>
    </r>
    <r>
      <rPr>
        <vertAlign val="subscript"/>
        <sz val="12"/>
        <color indexed="8"/>
        <rFont val="Arial"/>
        <family val="2"/>
      </rPr>
      <t>TSS,XPP</t>
    </r>
  </si>
  <si>
    <r>
      <t>i</t>
    </r>
    <r>
      <rPr>
        <vertAlign val="subscript"/>
        <sz val="12"/>
        <color indexed="8"/>
        <rFont val="Arial"/>
        <family val="2"/>
      </rPr>
      <t>TSS,XPHA</t>
    </r>
  </si>
  <si>
    <r>
      <t>f</t>
    </r>
    <r>
      <rPr>
        <vertAlign val="subscript"/>
        <sz val="12"/>
        <color indexed="8"/>
        <rFont val="Arial"/>
        <family val="2"/>
      </rPr>
      <t>MeP_PO4,MW</t>
    </r>
  </si>
  <si>
    <r>
      <t>i</t>
    </r>
    <r>
      <rPr>
        <vertAlign val="subscript"/>
        <sz val="12"/>
        <rFont val="Arial"/>
        <family val="2"/>
      </rPr>
      <t>Charge_Ac</t>
    </r>
  </si>
  <si>
    <r>
      <t>Charge.g COD</t>
    </r>
    <r>
      <rPr>
        <vertAlign val="superscript"/>
        <sz val="8"/>
        <color indexed="8"/>
        <rFont val="Arial"/>
        <family val="2"/>
      </rPr>
      <t>-1</t>
    </r>
  </si>
  <si>
    <r>
      <t>S</t>
    </r>
    <r>
      <rPr>
        <vertAlign val="subscript"/>
        <sz val="12"/>
        <color indexed="8"/>
        <rFont val="Arial"/>
        <family val="2"/>
      </rPr>
      <t>Ac</t>
    </r>
  </si>
  <si>
    <r>
      <t>S</t>
    </r>
    <r>
      <rPr>
        <vertAlign val="subscript"/>
        <sz val="12"/>
        <color indexed="8"/>
        <rFont val="Arial"/>
        <family val="2"/>
      </rPr>
      <t>NHx</t>
    </r>
  </si>
  <si>
    <r>
      <t>X</t>
    </r>
    <r>
      <rPr>
        <vertAlign val="subscript"/>
        <sz val="12"/>
        <color indexed="8"/>
        <rFont val="Arial"/>
        <family val="2"/>
      </rPr>
      <t>U</t>
    </r>
  </si>
  <si>
    <r>
      <t>X</t>
    </r>
    <r>
      <rPr>
        <vertAlign val="subscript"/>
        <sz val="12"/>
        <color indexed="8"/>
        <rFont val="Arial"/>
        <family val="2"/>
      </rPr>
      <t>PAO,PP</t>
    </r>
  </si>
  <si>
    <r>
      <t>X</t>
    </r>
    <r>
      <rPr>
        <vertAlign val="subscript"/>
        <sz val="12"/>
        <color indexed="8"/>
        <rFont val="Arial"/>
        <family val="2"/>
      </rPr>
      <t>PAO,PHA</t>
    </r>
  </si>
  <si>
    <r>
      <t>f</t>
    </r>
    <r>
      <rPr>
        <vertAlign val="subscript"/>
        <sz val="12"/>
        <color indexed="8"/>
        <rFont val="Arial"/>
        <family val="2"/>
      </rPr>
      <t>SU_XCB,hyd</t>
    </r>
  </si>
  <si>
    <r>
      <t>i</t>
    </r>
    <r>
      <rPr>
        <vertAlign val="subscript"/>
        <sz val="12"/>
        <rFont val="Arial"/>
        <family val="2"/>
      </rPr>
      <t>Charge_PO4</t>
    </r>
  </si>
  <si>
    <r>
      <t>Charge.g P</t>
    </r>
    <r>
      <rPr>
        <vertAlign val="superscript"/>
        <sz val="8"/>
        <color indexed="8"/>
        <rFont val="Arial"/>
        <family val="2"/>
      </rPr>
      <t>-1</t>
    </r>
  </si>
  <si>
    <r>
      <t>i</t>
    </r>
    <r>
      <rPr>
        <vertAlign val="subscript"/>
        <sz val="12"/>
        <rFont val="Arial"/>
        <family val="2"/>
      </rPr>
      <t>Charge_XPAO,PP</t>
    </r>
  </si>
  <si>
    <r>
      <t>i</t>
    </r>
    <r>
      <rPr>
        <vertAlign val="subscript"/>
        <sz val="12"/>
        <color indexed="8"/>
        <rFont val="Arial"/>
        <family val="2"/>
      </rPr>
      <t>TSS_XBio</t>
    </r>
  </si>
  <si>
    <r>
      <t>i</t>
    </r>
    <r>
      <rPr>
        <vertAlign val="subscript"/>
        <sz val="12"/>
        <rFont val="Arial"/>
        <family val="2"/>
      </rPr>
      <t>N,SF</t>
    </r>
  </si>
  <si>
    <r>
      <t>i</t>
    </r>
    <r>
      <rPr>
        <vertAlign val="subscript"/>
        <sz val="12"/>
        <rFont val="Arial"/>
        <family val="2"/>
      </rPr>
      <t>N_SF</t>
    </r>
  </si>
  <si>
    <r>
      <t>i</t>
    </r>
    <r>
      <rPr>
        <vertAlign val="subscript"/>
        <sz val="12"/>
        <rFont val="Arial"/>
        <family val="2"/>
      </rPr>
      <t>N,SI</t>
    </r>
  </si>
  <si>
    <r>
      <t>i</t>
    </r>
    <r>
      <rPr>
        <vertAlign val="subscript"/>
        <sz val="12"/>
        <rFont val="Arial"/>
        <family val="2"/>
      </rPr>
      <t>N_SU</t>
    </r>
  </si>
  <si>
    <r>
      <t>i</t>
    </r>
    <r>
      <rPr>
        <vertAlign val="subscript"/>
        <sz val="12"/>
        <rFont val="Arial"/>
        <family val="2"/>
      </rPr>
      <t>N,XI</t>
    </r>
  </si>
  <si>
    <r>
      <t>i</t>
    </r>
    <r>
      <rPr>
        <vertAlign val="subscript"/>
        <sz val="12"/>
        <rFont val="Arial"/>
        <family val="2"/>
      </rPr>
      <t>N_XU</t>
    </r>
  </si>
  <si>
    <r>
      <t>i</t>
    </r>
    <r>
      <rPr>
        <vertAlign val="subscript"/>
        <sz val="12"/>
        <rFont val="Arial"/>
        <family val="2"/>
      </rPr>
      <t>N,XS</t>
    </r>
  </si>
  <si>
    <r>
      <t>i</t>
    </r>
    <r>
      <rPr>
        <vertAlign val="subscript"/>
        <sz val="12"/>
        <rFont val="Arial"/>
        <family val="2"/>
      </rPr>
      <t>N_XCB</t>
    </r>
  </si>
  <si>
    <r>
      <t>i</t>
    </r>
    <r>
      <rPr>
        <vertAlign val="subscript"/>
        <sz val="12"/>
        <color indexed="8"/>
        <rFont val="Arial"/>
        <family val="2"/>
      </rPr>
      <t>N_SF</t>
    </r>
  </si>
  <si>
    <r>
      <t>i</t>
    </r>
    <r>
      <rPr>
        <vertAlign val="subscript"/>
        <sz val="12"/>
        <color indexed="8"/>
        <rFont val="Arial"/>
        <family val="2"/>
      </rPr>
      <t>P_SF</t>
    </r>
  </si>
  <si>
    <r>
      <t>i</t>
    </r>
    <r>
      <rPr>
        <vertAlign val="subscript"/>
        <sz val="12"/>
        <rFont val="Arial"/>
        <family val="2"/>
      </rPr>
      <t>N,BM</t>
    </r>
  </si>
  <si>
    <r>
      <t>f</t>
    </r>
    <r>
      <rPr>
        <vertAlign val="subscript"/>
        <sz val="12"/>
        <color indexed="8"/>
        <rFont val="Arial"/>
        <family val="2"/>
      </rPr>
      <t>XU_Bio,lys</t>
    </r>
  </si>
  <si>
    <r>
      <t>i</t>
    </r>
    <r>
      <rPr>
        <vertAlign val="subscript"/>
        <sz val="12"/>
        <rFont val="Arial"/>
        <family val="2"/>
      </rPr>
      <t>P,SF</t>
    </r>
  </si>
  <si>
    <r>
      <t>i</t>
    </r>
    <r>
      <rPr>
        <vertAlign val="subscript"/>
        <sz val="12"/>
        <rFont val="Arial"/>
        <family val="2"/>
      </rPr>
      <t>P_SF</t>
    </r>
  </si>
  <si>
    <r>
      <t>Y</t>
    </r>
    <r>
      <rPr>
        <vertAlign val="subscript"/>
        <sz val="12"/>
        <color indexed="8"/>
        <rFont val="Arial"/>
        <family val="2"/>
      </rPr>
      <t>PP_PHA,PAO</t>
    </r>
  </si>
  <si>
    <r>
      <t>i</t>
    </r>
    <r>
      <rPr>
        <vertAlign val="subscript"/>
        <sz val="12"/>
        <rFont val="Arial"/>
        <family val="2"/>
      </rPr>
      <t>P,SI</t>
    </r>
  </si>
  <si>
    <r>
      <t>i</t>
    </r>
    <r>
      <rPr>
        <vertAlign val="subscript"/>
        <sz val="12"/>
        <rFont val="Arial"/>
        <family val="2"/>
      </rPr>
      <t>P_SU</t>
    </r>
  </si>
  <si>
    <r>
      <t>i</t>
    </r>
    <r>
      <rPr>
        <vertAlign val="subscript"/>
        <sz val="12"/>
        <rFont val="Arial"/>
        <family val="2"/>
      </rPr>
      <t>P,XI</t>
    </r>
  </si>
  <si>
    <r>
      <t>i</t>
    </r>
    <r>
      <rPr>
        <vertAlign val="subscript"/>
        <sz val="12"/>
        <rFont val="Arial"/>
        <family val="2"/>
      </rPr>
      <t>P_XU</t>
    </r>
  </si>
  <si>
    <r>
      <t>i</t>
    </r>
    <r>
      <rPr>
        <vertAlign val="subscript"/>
        <sz val="12"/>
        <rFont val="Arial"/>
        <family val="2"/>
      </rPr>
      <t>P,XS</t>
    </r>
  </si>
  <si>
    <r>
      <t>i</t>
    </r>
    <r>
      <rPr>
        <vertAlign val="subscript"/>
        <sz val="12"/>
        <rFont val="Arial"/>
        <family val="2"/>
      </rPr>
      <t>P_XCB</t>
    </r>
  </si>
  <si>
    <r>
      <t>i</t>
    </r>
    <r>
      <rPr>
        <vertAlign val="subscript"/>
        <sz val="12"/>
        <rFont val="Arial"/>
        <family val="2"/>
      </rPr>
      <t>P,BM</t>
    </r>
  </si>
  <si>
    <r>
      <t>i</t>
    </r>
    <r>
      <rPr>
        <vertAlign val="subscript"/>
        <sz val="12"/>
        <rFont val="Arial"/>
        <family val="2"/>
      </rPr>
      <t>P_XBio</t>
    </r>
  </si>
  <si>
    <r>
      <t>i</t>
    </r>
    <r>
      <rPr>
        <vertAlign val="subscript"/>
        <sz val="12"/>
        <rFont val="Arial"/>
        <family val="2"/>
      </rPr>
      <t>P_MeP</t>
    </r>
  </si>
  <si>
    <r>
      <t>i</t>
    </r>
    <r>
      <rPr>
        <vertAlign val="subscript"/>
        <sz val="12"/>
        <rFont val="Arial"/>
        <family val="2"/>
      </rPr>
      <t>TSS,XI</t>
    </r>
  </si>
  <si>
    <r>
      <t>i</t>
    </r>
    <r>
      <rPr>
        <vertAlign val="subscript"/>
        <sz val="12"/>
        <rFont val="Arial"/>
        <family val="2"/>
      </rPr>
      <t>TSS_XU</t>
    </r>
  </si>
  <si>
    <r>
      <t>i</t>
    </r>
    <r>
      <rPr>
        <vertAlign val="subscript"/>
        <sz val="12"/>
        <rFont val="Arial"/>
        <family val="2"/>
      </rPr>
      <t>TSS,XS</t>
    </r>
  </si>
  <si>
    <r>
      <t>i</t>
    </r>
    <r>
      <rPr>
        <vertAlign val="subscript"/>
        <sz val="12"/>
        <rFont val="Arial"/>
        <family val="2"/>
      </rPr>
      <t>TSS_XCB</t>
    </r>
  </si>
  <si>
    <r>
      <t>i</t>
    </r>
    <r>
      <rPr>
        <vertAlign val="subscript"/>
        <sz val="12"/>
        <rFont val="Arial"/>
        <family val="2"/>
      </rPr>
      <t>TSS,XPHA</t>
    </r>
  </si>
  <si>
    <r>
      <t>i</t>
    </r>
    <r>
      <rPr>
        <vertAlign val="subscript"/>
        <sz val="12"/>
        <rFont val="Arial"/>
        <family val="2"/>
      </rPr>
      <t>TSS_XPAO,PHA</t>
    </r>
  </si>
  <si>
    <t>Conversion factor biomass in TSS</t>
  </si>
  <si>
    <r>
      <t>i</t>
    </r>
    <r>
      <rPr>
        <vertAlign val="subscript"/>
        <sz val="12"/>
        <rFont val="Arial"/>
        <family val="2"/>
      </rPr>
      <t>TSS,BM</t>
    </r>
  </si>
  <si>
    <r>
      <t>i</t>
    </r>
    <r>
      <rPr>
        <vertAlign val="subscript"/>
        <sz val="12"/>
        <rFont val="Arial"/>
        <family val="2"/>
      </rPr>
      <t>TSS_XBio</t>
    </r>
  </si>
  <si>
    <r>
      <t>i</t>
    </r>
    <r>
      <rPr>
        <vertAlign val="subscript"/>
        <sz val="12"/>
        <rFont val="Arial"/>
        <family val="2"/>
      </rPr>
      <t>TSS,XPP</t>
    </r>
  </si>
  <si>
    <r>
      <t>i</t>
    </r>
    <r>
      <rPr>
        <vertAlign val="subscript"/>
        <sz val="12"/>
        <rFont val="Arial"/>
        <family val="2"/>
      </rPr>
      <t>TSS_XPAO,PP</t>
    </r>
  </si>
  <si>
    <r>
      <t>K</t>
    </r>
    <r>
      <rPr>
        <vertAlign val="subscript"/>
        <sz val="12"/>
        <rFont val="Arial"/>
        <family val="2"/>
      </rPr>
      <t>h</t>
    </r>
  </si>
  <si>
    <t>Correction factor for hydrolysis under anaerobic conditions</t>
  </si>
  <si>
    <r>
      <t>η</t>
    </r>
    <r>
      <rPr>
        <vertAlign val="subscript"/>
        <sz val="12"/>
        <rFont val="Arial"/>
        <family val="2"/>
      </rPr>
      <t>fe</t>
    </r>
  </si>
  <si>
    <r>
      <t>n</t>
    </r>
    <r>
      <rPr>
        <vertAlign val="subscript"/>
        <sz val="12"/>
        <rFont val="Arial"/>
        <family val="2"/>
      </rPr>
      <t>qhyd,An</t>
    </r>
  </si>
  <si>
    <r>
      <t>i</t>
    </r>
    <r>
      <rPr>
        <vertAlign val="subscript"/>
        <sz val="12"/>
        <color indexed="8"/>
        <rFont val="Arial"/>
        <family val="2"/>
      </rPr>
      <t>N_SU</t>
    </r>
  </si>
  <si>
    <r>
      <t>i</t>
    </r>
    <r>
      <rPr>
        <vertAlign val="subscript"/>
        <sz val="12"/>
        <color indexed="8"/>
        <rFont val="Arial"/>
        <family val="2"/>
      </rPr>
      <t>N_XU</t>
    </r>
  </si>
  <si>
    <r>
      <t>i</t>
    </r>
    <r>
      <rPr>
        <vertAlign val="subscript"/>
        <sz val="12"/>
        <color indexed="8"/>
        <rFont val="Arial"/>
        <family val="2"/>
      </rPr>
      <t>N_XCB</t>
    </r>
  </si>
  <si>
    <r>
      <t>K</t>
    </r>
    <r>
      <rPr>
        <vertAlign val="subscript"/>
        <sz val="12"/>
        <rFont val="Arial"/>
        <family val="2"/>
      </rPr>
      <t>O2,hyd</t>
    </r>
  </si>
  <si>
    <t xml:space="preserve"> </t>
  </si>
  <si>
    <r>
      <t>i</t>
    </r>
    <r>
      <rPr>
        <vertAlign val="subscript"/>
        <sz val="12"/>
        <color indexed="8"/>
        <rFont val="Arial"/>
        <family val="2"/>
      </rPr>
      <t>P_SU</t>
    </r>
  </si>
  <si>
    <r>
      <t>i</t>
    </r>
    <r>
      <rPr>
        <vertAlign val="subscript"/>
        <sz val="12"/>
        <color indexed="8"/>
        <rFont val="Arial"/>
        <family val="2"/>
      </rPr>
      <t>P_XU</t>
    </r>
  </si>
  <si>
    <r>
      <t>i</t>
    </r>
    <r>
      <rPr>
        <vertAlign val="subscript"/>
        <sz val="12"/>
        <color indexed="8"/>
        <rFont val="Arial"/>
        <family val="2"/>
      </rPr>
      <t>P_XCB</t>
    </r>
  </si>
  <si>
    <r>
      <t>i</t>
    </r>
    <r>
      <rPr>
        <vertAlign val="subscript"/>
        <sz val="12"/>
        <color indexed="8"/>
        <rFont val="Arial"/>
        <family val="2"/>
      </rPr>
      <t>P_XBio</t>
    </r>
  </si>
  <si>
    <r>
      <t>K</t>
    </r>
    <r>
      <rPr>
        <vertAlign val="subscript"/>
        <sz val="12"/>
        <rFont val="Arial"/>
        <family val="2"/>
      </rPr>
      <t>NOx,hyd</t>
    </r>
  </si>
  <si>
    <r>
      <t>i</t>
    </r>
    <r>
      <rPr>
        <vertAlign val="subscript"/>
        <sz val="12"/>
        <color indexed="8"/>
        <rFont val="Arial"/>
        <family val="2"/>
      </rPr>
      <t>TSS_XU</t>
    </r>
  </si>
  <si>
    <r>
      <t>i</t>
    </r>
    <r>
      <rPr>
        <vertAlign val="subscript"/>
        <sz val="12"/>
        <color indexed="8"/>
        <rFont val="Arial"/>
        <family val="2"/>
      </rPr>
      <t>TSS_XCB</t>
    </r>
  </si>
  <si>
    <r>
      <t>i</t>
    </r>
    <r>
      <rPr>
        <vertAlign val="subscript"/>
        <sz val="12"/>
        <color indexed="8"/>
        <rFont val="Arial"/>
        <family val="2"/>
      </rPr>
      <t>TSS_XPAO,PP</t>
    </r>
  </si>
  <si>
    <r>
      <t>i</t>
    </r>
    <r>
      <rPr>
        <vertAlign val="subscript"/>
        <sz val="12"/>
        <color indexed="8"/>
        <rFont val="Arial"/>
        <family val="2"/>
      </rPr>
      <t>TSS_XPAO,PHA</t>
    </r>
  </si>
  <si>
    <t>Rate constant for fermentation / Maximum specific fermentation growth rate</t>
  </si>
  <si>
    <r>
      <t>q</t>
    </r>
    <r>
      <rPr>
        <vertAlign val="subscript"/>
        <sz val="12"/>
        <rFont val="Arial"/>
        <family val="2"/>
      </rPr>
      <t>fe</t>
    </r>
  </si>
  <si>
    <r>
      <t>q</t>
    </r>
    <r>
      <rPr>
        <vertAlign val="subscript"/>
        <sz val="12"/>
        <rFont val="Arial"/>
        <family val="2"/>
      </rPr>
      <t>SF_Ac,Max</t>
    </r>
  </si>
  <si>
    <r>
      <t>K</t>
    </r>
    <r>
      <rPr>
        <vertAlign val="subscript"/>
        <sz val="12"/>
        <rFont val="Arial"/>
        <family val="2"/>
      </rPr>
      <t>F</t>
    </r>
  </si>
  <si>
    <r>
      <t>K</t>
    </r>
    <r>
      <rPr>
        <vertAlign val="subscript"/>
        <sz val="12"/>
        <rFont val="Arial"/>
        <family val="2"/>
      </rPr>
      <t>SF,OHO</t>
    </r>
  </si>
  <si>
    <r>
      <t>K</t>
    </r>
    <r>
      <rPr>
        <vertAlign val="subscript"/>
        <sz val="12"/>
        <rFont val="Arial"/>
        <family val="2"/>
      </rPr>
      <t>Ac,OHO</t>
    </r>
  </si>
  <si>
    <r>
      <t>K</t>
    </r>
    <r>
      <rPr>
        <vertAlign val="subscript"/>
        <sz val="12"/>
        <rFont val="Arial"/>
        <family val="2"/>
      </rPr>
      <t>fe</t>
    </r>
  </si>
  <si>
    <t>S_O2</t>
  </si>
  <si>
    <t>S_F</t>
  </si>
  <si>
    <r>
      <t>K</t>
    </r>
    <r>
      <rPr>
        <vertAlign val="subscript"/>
        <sz val="12"/>
        <rFont val="Arial"/>
        <family val="2"/>
      </rPr>
      <t>NHx,OHO</t>
    </r>
  </si>
  <si>
    <t>S_A</t>
  </si>
  <si>
    <r>
      <t>K</t>
    </r>
    <r>
      <rPr>
        <vertAlign val="subscript"/>
        <sz val="12"/>
        <rFont val="Arial"/>
        <family val="2"/>
      </rPr>
      <t>PO4,OHO</t>
    </r>
  </si>
  <si>
    <t>S_NH4</t>
  </si>
  <si>
    <r>
      <t>K</t>
    </r>
    <r>
      <rPr>
        <vertAlign val="subscript"/>
        <sz val="12"/>
        <rFont val="Arial"/>
        <family val="2"/>
      </rPr>
      <t>Alk,OHO</t>
    </r>
  </si>
  <si>
    <t>S_NO3</t>
  </si>
  <si>
    <r>
      <t>q</t>
    </r>
    <r>
      <rPr>
        <vertAlign val="subscript"/>
        <sz val="12"/>
        <rFont val="Arial"/>
        <family val="2"/>
      </rPr>
      <t>PHA</t>
    </r>
  </si>
  <si>
    <r>
      <t>q</t>
    </r>
    <r>
      <rPr>
        <vertAlign val="subscript"/>
        <sz val="12"/>
        <rFont val="Arial"/>
        <family val="2"/>
      </rPr>
      <t>PAO,Ac_PHA</t>
    </r>
  </si>
  <si>
    <t>S_PO4</t>
  </si>
  <si>
    <r>
      <t>q</t>
    </r>
    <r>
      <rPr>
        <vertAlign val="subscript"/>
        <sz val="12"/>
        <rFont val="Arial"/>
        <family val="2"/>
      </rPr>
      <t>PP</t>
    </r>
  </si>
  <si>
    <r>
      <t>q</t>
    </r>
    <r>
      <rPr>
        <vertAlign val="subscript"/>
        <sz val="12"/>
        <rFont val="Arial"/>
        <family val="2"/>
      </rPr>
      <t>PAO,PO4_PP</t>
    </r>
  </si>
  <si>
    <r>
      <t>K</t>
    </r>
    <r>
      <rPr>
        <vertAlign val="subscript"/>
        <sz val="12"/>
        <rFont val="Arial"/>
        <family val="2"/>
      </rPr>
      <t>PP</t>
    </r>
  </si>
  <si>
    <r>
      <t>f</t>
    </r>
    <r>
      <rPr>
        <vertAlign val="subscript"/>
        <sz val="12"/>
        <rFont val="Arial"/>
        <family val="2"/>
      </rPr>
      <t>PP_PAO,Max</t>
    </r>
  </si>
  <si>
    <r>
      <t>K</t>
    </r>
    <r>
      <rPr>
        <vertAlign val="subscript"/>
        <sz val="12"/>
        <rFont val="Arial"/>
        <family val="2"/>
      </rPr>
      <t>MAX</t>
    </r>
  </si>
  <si>
    <r>
      <t>K</t>
    </r>
    <r>
      <rPr>
        <vertAlign val="subscript"/>
        <sz val="12"/>
        <rFont val="Arial"/>
        <family val="2"/>
      </rPr>
      <t>S,fPP_PAO</t>
    </r>
  </si>
  <si>
    <r>
      <t>K</t>
    </r>
    <r>
      <rPr>
        <vertAlign val="subscript"/>
        <sz val="12"/>
        <rFont val="Arial"/>
        <family val="2"/>
      </rPr>
      <t>iPP</t>
    </r>
  </si>
  <si>
    <r>
      <t>K</t>
    </r>
    <r>
      <rPr>
        <vertAlign val="subscript"/>
        <sz val="12"/>
        <rFont val="Arial"/>
        <family val="2"/>
      </rPr>
      <t>I,fPP_PAO</t>
    </r>
  </si>
  <si>
    <r>
      <t>μ</t>
    </r>
    <r>
      <rPr>
        <vertAlign val="subscript"/>
        <sz val="12"/>
        <rFont val="Arial"/>
        <family val="2"/>
      </rPr>
      <t>PAO</t>
    </r>
  </si>
  <si>
    <r>
      <t>μ</t>
    </r>
    <r>
      <rPr>
        <vertAlign val="subscript"/>
        <sz val="12"/>
        <rFont val="Arial"/>
        <family val="2"/>
      </rPr>
      <t>PAO,Max</t>
    </r>
  </si>
  <si>
    <r>
      <t>n</t>
    </r>
    <r>
      <rPr>
        <vertAlign val="subscript"/>
        <sz val="12"/>
        <rFont val="Arial"/>
        <family val="2"/>
      </rPr>
      <t>μPAO</t>
    </r>
  </si>
  <si>
    <t>X_H</t>
  </si>
  <si>
    <r>
      <t>K</t>
    </r>
    <r>
      <rPr>
        <vertAlign val="subscript"/>
        <sz val="12"/>
        <rFont val="Arial"/>
        <family val="2"/>
      </rPr>
      <t>PHA</t>
    </r>
  </si>
  <si>
    <r>
      <t>K</t>
    </r>
    <r>
      <rPr>
        <vertAlign val="subscript"/>
        <sz val="12"/>
        <rFont val="Arial"/>
        <family val="2"/>
      </rPr>
      <t>fPHA_PAO</t>
    </r>
  </si>
  <si>
    <t>X_PAO</t>
  </si>
  <si>
    <r>
      <t>b</t>
    </r>
    <r>
      <rPr>
        <vertAlign val="subscript"/>
        <sz val="12"/>
        <rFont val="Arial"/>
        <family val="2"/>
      </rPr>
      <t>PAO</t>
    </r>
  </si>
  <si>
    <r>
      <t>m</t>
    </r>
    <r>
      <rPr>
        <vertAlign val="subscript"/>
        <sz val="12"/>
        <rFont val="Arial"/>
        <family val="2"/>
      </rPr>
      <t>PAO</t>
    </r>
  </si>
  <si>
    <t>X_PP</t>
  </si>
  <si>
    <r>
      <t>b</t>
    </r>
    <r>
      <rPr>
        <vertAlign val="subscript"/>
        <sz val="12"/>
        <rFont val="Arial"/>
        <family val="2"/>
      </rPr>
      <t>PP</t>
    </r>
  </si>
  <si>
    <r>
      <t>b</t>
    </r>
    <r>
      <rPr>
        <vertAlign val="subscript"/>
        <sz val="12"/>
        <rFont val="Arial"/>
        <family val="2"/>
      </rPr>
      <t>PP_PO4</t>
    </r>
  </si>
  <si>
    <t>X_PHA</t>
  </si>
  <si>
    <r>
      <t>b</t>
    </r>
    <r>
      <rPr>
        <vertAlign val="subscript"/>
        <sz val="12"/>
        <rFont val="Arial"/>
        <family val="2"/>
      </rPr>
      <t>PHA</t>
    </r>
  </si>
  <si>
    <r>
      <t>b</t>
    </r>
    <r>
      <rPr>
        <vertAlign val="subscript"/>
        <sz val="12"/>
        <rFont val="Arial"/>
        <family val="2"/>
      </rPr>
      <t>PHA_Ac</t>
    </r>
  </si>
  <si>
    <t>X_AUT</t>
  </si>
  <si>
    <r>
      <t>K</t>
    </r>
    <r>
      <rPr>
        <vertAlign val="subscript"/>
        <sz val="12"/>
        <rFont val="Arial"/>
        <family val="2"/>
      </rPr>
      <t>Ac,PAO</t>
    </r>
  </si>
  <si>
    <t>X_TSS</t>
  </si>
  <si>
    <r>
      <t>K</t>
    </r>
    <r>
      <rPr>
        <vertAlign val="subscript"/>
        <sz val="12"/>
        <rFont val="Arial"/>
        <family val="2"/>
      </rPr>
      <t>O2,PAO</t>
    </r>
  </si>
  <si>
    <t>X_MeOH</t>
  </si>
  <si>
    <r>
      <t>K</t>
    </r>
    <r>
      <rPr>
        <vertAlign val="subscript"/>
        <sz val="12"/>
        <rFont val="Arial"/>
        <family val="2"/>
      </rPr>
      <t>NOx,PAO</t>
    </r>
  </si>
  <si>
    <t>X_MeP</t>
  </si>
  <si>
    <r>
      <t>K</t>
    </r>
    <r>
      <rPr>
        <vertAlign val="subscript"/>
        <sz val="12"/>
        <rFont val="Arial"/>
        <family val="2"/>
      </rPr>
      <t>NHx,PAO</t>
    </r>
  </si>
  <si>
    <r>
      <t>K</t>
    </r>
    <r>
      <rPr>
        <vertAlign val="subscript"/>
        <sz val="12"/>
        <rFont val="Arial"/>
        <family val="2"/>
      </rPr>
      <t>PS</t>
    </r>
  </si>
  <si>
    <r>
      <t>K</t>
    </r>
    <r>
      <rPr>
        <vertAlign val="subscript"/>
        <sz val="12"/>
        <rFont val="Arial"/>
        <family val="2"/>
      </rPr>
      <t>PO4,PAO,upt</t>
    </r>
  </si>
  <si>
    <r>
      <t>K</t>
    </r>
    <r>
      <rPr>
        <vertAlign val="subscript"/>
        <sz val="12"/>
        <rFont val="Arial"/>
        <family val="2"/>
      </rPr>
      <t>PO4,PAO,nut</t>
    </r>
  </si>
  <si>
    <r>
      <t>K</t>
    </r>
    <r>
      <rPr>
        <vertAlign val="subscript"/>
        <sz val="12"/>
        <rFont val="Arial"/>
        <family val="2"/>
      </rPr>
      <t>Alk,PAO</t>
    </r>
  </si>
  <si>
    <r>
      <t>μ</t>
    </r>
    <r>
      <rPr>
        <vertAlign val="subscript"/>
        <sz val="12"/>
        <rFont val="Arial"/>
        <family val="2"/>
      </rPr>
      <t>AUT</t>
    </r>
  </si>
  <si>
    <r>
      <t>b</t>
    </r>
    <r>
      <rPr>
        <vertAlign val="subscript"/>
        <sz val="12"/>
        <rFont val="Arial"/>
        <family val="2"/>
      </rPr>
      <t>AUT</t>
    </r>
  </si>
  <si>
    <r>
      <t>K</t>
    </r>
    <r>
      <rPr>
        <vertAlign val="subscript"/>
        <sz val="12"/>
        <rFont val="Arial"/>
        <family val="2"/>
      </rPr>
      <t>PO4,ANO</t>
    </r>
  </si>
  <si>
    <r>
      <t>K</t>
    </r>
    <r>
      <rPr>
        <vertAlign val="subscript"/>
        <sz val="12"/>
        <rFont val="Arial"/>
        <family val="2"/>
      </rPr>
      <t>Alk,ANO</t>
    </r>
  </si>
  <si>
    <t>Rate constant for P precipitation</t>
  </si>
  <si>
    <r>
      <t>k</t>
    </r>
    <r>
      <rPr>
        <vertAlign val="subscript"/>
        <sz val="12"/>
        <rFont val="Arial"/>
        <family val="2"/>
      </rPr>
      <t>PRE</t>
    </r>
  </si>
  <si>
    <r>
      <t>q</t>
    </r>
    <r>
      <rPr>
        <vertAlign val="subscript"/>
        <sz val="12"/>
        <rFont val="Arial"/>
        <family val="2"/>
      </rPr>
      <t>P,pre</t>
    </r>
  </si>
  <si>
    <t>Rate constant for redissolution</t>
  </si>
  <si>
    <r>
      <t>k</t>
    </r>
    <r>
      <rPr>
        <vertAlign val="subscript"/>
        <sz val="12"/>
        <rFont val="Arial"/>
        <family val="2"/>
      </rPr>
      <t>RED</t>
    </r>
  </si>
  <si>
    <r>
      <t>q</t>
    </r>
    <r>
      <rPr>
        <vertAlign val="subscript"/>
        <sz val="12"/>
        <rFont val="Arial"/>
        <family val="2"/>
      </rPr>
      <t>P,red</t>
    </r>
  </si>
  <si>
    <t>Half saturation parameter for alkalinity</t>
  </si>
  <si>
    <r>
      <t>K</t>
    </r>
    <r>
      <rPr>
        <vertAlign val="subscript"/>
        <sz val="12"/>
        <rFont val="Arial"/>
        <family val="2"/>
      </rPr>
      <t>Alk,pre</t>
    </r>
  </si>
  <si>
    <t>ASM3</t>
  </si>
  <si>
    <r>
      <t>X</t>
    </r>
    <r>
      <rPr>
        <vertAlign val="subscript"/>
        <sz val="12"/>
        <rFont val="Arial"/>
        <family val="2"/>
      </rPr>
      <t>STO</t>
    </r>
  </si>
  <si>
    <r>
      <t>X</t>
    </r>
    <r>
      <rPr>
        <vertAlign val="subscript"/>
        <sz val="12"/>
        <rFont val="Arial"/>
        <family val="2"/>
      </rPr>
      <t>A</t>
    </r>
  </si>
  <si>
    <r>
      <t>X</t>
    </r>
    <r>
      <rPr>
        <vertAlign val="subscript"/>
        <sz val="12"/>
        <rFont val="Arial"/>
        <family val="2"/>
      </rPr>
      <t>SS</t>
    </r>
  </si>
  <si>
    <t>State Variable</t>
  </si>
  <si>
    <t>Hydrolysis</t>
  </si>
  <si>
    <r>
      <t>i</t>
    </r>
    <r>
      <rPr>
        <vertAlign val="subscript"/>
        <sz val="12"/>
        <rFont val="Arial"/>
        <family val="2"/>
      </rPr>
      <t>N,SS</t>
    </r>
  </si>
  <si>
    <r>
      <t>Y</t>
    </r>
    <r>
      <rPr>
        <vertAlign val="subscript"/>
        <sz val="12"/>
        <rFont val="Arial"/>
        <family val="2"/>
      </rPr>
      <t>STO,O2</t>
    </r>
  </si>
  <si>
    <r>
      <t>Y</t>
    </r>
    <r>
      <rPr>
        <vertAlign val="subscript"/>
        <sz val="12"/>
        <rFont val="Arial"/>
        <family val="2"/>
      </rPr>
      <t>STO,NOX</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</si>
</sst>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E+00"/>
    <numFmt numFmtId="174" formatCode="0.00000"/>
    <numFmt numFmtId="175" formatCode="0.E+00"/>
    <numFmt numFmtId="176" formatCode="0.0000"/>
    <numFmt numFmtId="177" formatCode="0.0E+00"/>
  </numFmts>
  <fonts count="78">
    <font>
      <sz val="10"/>
      <name val="Arial"/>
      <family val="0"/>
    </font>
    <font>
      <u val="single"/>
      <sz val="7.7"/>
      <color indexed="12"/>
      <name val="Calibri"/>
      <family val="2"/>
    </font>
    <font>
      <sz val="8"/>
      <name val="Arial"/>
      <family val="0"/>
    </font>
    <font>
      <sz val="11"/>
      <color indexed="8"/>
      <name val="Arial"/>
      <family val="2"/>
    </font>
    <font>
      <b/>
      <sz val="14"/>
      <color indexed="8"/>
      <name val="Arial"/>
      <family val="2"/>
    </font>
    <font>
      <sz val="10"/>
      <color indexed="8"/>
      <name val="Arial"/>
      <family val="2"/>
    </font>
    <font>
      <vertAlign val="superscript"/>
      <sz val="10"/>
      <color indexed="8"/>
      <name val="Arial"/>
      <family val="2"/>
    </font>
    <font>
      <vertAlign val="subscript"/>
      <sz val="10"/>
      <color indexed="8"/>
      <name val="Arial"/>
      <family val="2"/>
    </font>
    <font>
      <i/>
      <sz val="10"/>
      <color indexed="8"/>
      <name val="Arial"/>
      <family val="2"/>
    </font>
    <font>
      <u val="single"/>
      <sz val="7.7"/>
      <color indexed="12"/>
      <name val="Arial"/>
      <family val="2"/>
    </font>
    <font>
      <b/>
      <sz val="10"/>
      <color indexed="8"/>
      <name val="Arial"/>
      <family val="2"/>
    </font>
    <font>
      <i/>
      <sz val="11"/>
      <color indexed="8"/>
      <name val="Arial"/>
      <family val="2"/>
    </font>
    <font>
      <b/>
      <sz val="11"/>
      <color indexed="8"/>
      <name val="Arial"/>
      <family val="2"/>
    </font>
    <font>
      <b/>
      <sz val="26"/>
      <color indexed="8"/>
      <name val="Arial"/>
      <family val="2"/>
    </font>
    <font>
      <b/>
      <sz val="24"/>
      <color indexed="9"/>
      <name val="Arial"/>
      <family val="2"/>
    </font>
    <font>
      <b/>
      <sz val="14"/>
      <color indexed="9"/>
      <name val="Arial"/>
      <family val="2"/>
    </font>
    <font>
      <b/>
      <sz val="14"/>
      <color indexed="57"/>
      <name val="Arial"/>
      <family val="2"/>
    </font>
    <font>
      <b/>
      <sz val="14"/>
      <color indexed="12"/>
      <name val="Arial"/>
      <family val="2"/>
    </font>
    <font>
      <b/>
      <sz val="14"/>
      <color indexed="10"/>
      <name val="Arial"/>
      <family val="2"/>
    </font>
    <font>
      <sz val="12"/>
      <name val="Arial"/>
      <family val="2"/>
    </font>
    <font>
      <vertAlign val="subscript"/>
      <sz val="12"/>
      <color indexed="8"/>
      <name val="Arial"/>
      <family val="2"/>
    </font>
    <font>
      <i/>
      <sz val="12"/>
      <color indexed="8"/>
      <name val="Arial"/>
      <family val="2"/>
    </font>
    <font>
      <vertAlign val="subscript"/>
      <sz val="12"/>
      <color indexed="10"/>
      <name val="Arial"/>
      <family val="2"/>
    </font>
    <font>
      <i/>
      <sz val="12"/>
      <color indexed="10"/>
      <name val="Arial"/>
      <family val="2"/>
    </font>
    <font>
      <sz val="12"/>
      <color indexed="8"/>
      <name val="Arial"/>
      <family val="2"/>
    </font>
    <font>
      <sz val="20"/>
      <color indexed="8"/>
      <name val="Arial"/>
      <family val="2"/>
    </font>
    <font>
      <vertAlign val="subscript"/>
      <sz val="12"/>
      <name val="Arial"/>
      <family val="2"/>
    </font>
    <font>
      <i/>
      <sz val="12"/>
      <name val="Arial"/>
      <family val="2"/>
    </font>
    <font>
      <vertAlign val="superscript"/>
      <sz val="8"/>
      <name val="Arial"/>
      <family val="2"/>
    </font>
    <font>
      <sz val="12"/>
      <color indexed="10"/>
      <name val="Arial"/>
      <family val="2"/>
    </font>
    <font>
      <b/>
      <sz val="11"/>
      <name val="Arial"/>
      <family val="2"/>
    </font>
    <font>
      <vertAlign val="subscript"/>
      <sz val="11"/>
      <color indexed="8"/>
      <name val="Arial"/>
      <family val="2"/>
    </font>
    <font>
      <vertAlign val="subscript"/>
      <sz val="11"/>
      <name val="Arial"/>
      <family val="2"/>
    </font>
    <font>
      <sz val="11"/>
      <name val="Arial"/>
      <family val="2"/>
    </font>
    <font>
      <vertAlign val="superscript"/>
      <sz val="10"/>
      <name val="Arial"/>
      <family val="2"/>
    </font>
    <font>
      <vertAlign val="subscript"/>
      <sz val="8"/>
      <name val="Arial"/>
      <family val="2"/>
    </font>
    <font>
      <vertAlign val="superscript"/>
      <sz val="8"/>
      <color indexed="8"/>
      <name val="Arial"/>
      <family val="2"/>
    </font>
    <font>
      <sz val="8"/>
      <color indexed="8"/>
      <name val="Arial"/>
      <family val="2"/>
    </font>
    <font>
      <b/>
      <sz val="12"/>
      <color indexed="10"/>
      <name val="Arial"/>
      <family val="2"/>
    </font>
    <font>
      <vertAlign val="subscript"/>
      <sz val="10"/>
      <name val="Arial"/>
      <family val="2"/>
    </font>
    <font>
      <b/>
      <sz val="10"/>
      <color indexed="10"/>
      <name val="Arial"/>
      <family val="2"/>
    </font>
    <font>
      <b/>
      <vertAlign val="subscript"/>
      <sz val="8"/>
      <color indexed="10"/>
      <name val="Arial"/>
      <family val="2"/>
    </font>
    <font>
      <b/>
      <sz val="8"/>
      <color indexed="10"/>
      <name val="Arial"/>
      <family val="2"/>
    </font>
    <font>
      <b/>
      <vertAlign val="superscript"/>
      <sz val="10"/>
      <color indexed="10"/>
      <name val="Arial"/>
      <family val="2"/>
    </font>
    <font>
      <b/>
      <sz val="12"/>
      <color indexed="8"/>
      <name val="Arial"/>
      <family val="2"/>
    </font>
    <font>
      <b/>
      <vertAlign val="subscript"/>
      <sz val="11"/>
      <color indexed="10"/>
      <name val="Arial"/>
      <family val="2"/>
    </font>
    <font>
      <b/>
      <sz val="11"/>
      <color indexed="10"/>
      <name val="Arial"/>
      <family val="2"/>
    </font>
    <font>
      <i/>
      <sz val="10"/>
      <name val="Arial"/>
      <family val="2"/>
    </font>
    <font>
      <b/>
      <sz val="10"/>
      <name val="Arial"/>
      <family val="2"/>
    </font>
    <font>
      <b/>
      <sz val="20"/>
      <color indexed="8"/>
      <name val="Arial"/>
      <family val="2"/>
    </font>
    <font>
      <i/>
      <sz val="12"/>
      <color indexed="57"/>
      <name val="Arial"/>
      <family val="2"/>
    </font>
    <font>
      <vertAlign val="subscript"/>
      <sz val="12"/>
      <color indexed="57"/>
      <name val="Arial"/>
      <family val="2"/>
    </font>
    <font>
      <b/>
      <vertAlign val="subscript"/>
      <sz val="11"/>
      <color indexed="8"/>
      <name val="Arial"/>
      <family val="2"/>
    </font>
    <font>
      <b/>
      <sz val="11"/>
      <color indexed="57"/>
      <name val="Arial"/>
      <family val="2"/>
    </font>
    <font>
      <sz val="7"/>
      <color indexed="8"/>
      <name val="Arial"/>
      <family val="2"/>
    </font>
    <font>
      <vertAlign val="subscript"/>
      <sz val="8"/>
      <color indexed="8"/>
      <name val="Arial"/>
      <family val="2"/>
    </font>
    <font>
      <vertAlign val="superscript"/>
      <sz val="11"/>
      <color indexed="8"/>
      <name val="Arial"/>
      <family val="2"/>
    </font>
    <font>
      <sz val="11"/>
      <color indexed="57"/>
      <name val="Arial"/>
      <family val="2"/>
    </font>
    <font>
      <sz val="11"/>
      <color indexed="10"/>
      <name val="Arial"/>
      <family val="2"/>
    </font>
    <font>
      <b/>
      <sz val="20"/>
      <name val="Arial"/>
      <family val="2"/>
    </font>
    <font>
      <b/>
      <vertAlign val="subscript"/>
      <sz val="11"/>
      <name val="Arial"/>
      <family val="2"/>
    </font>
    <font>
      <vertAlign val="subscript"/>
      <sz val="11"/>
      <color indexed="10"/>
      <name val="Arial"/>
      <family val="2"/>
    </font>
    <font>
      <b/>
      <sz val="14"/>
      <name val="Arial"/>
      <family val="2"/>
    </font>
    <font>
      <i/>
      <sz val="12"/>
      <color indexed="12"/>
      <name val="Arial"/>
      <family val="2"/>
    </font>
    <font>
      <vertAlign val="subscript"/>
      <sz val="12"/>
      <color indexed="12"/>
      <name val="Arial"/>
      <family val="2"/>
    </font>
    <font>
      <i/>
      <sz val="11"/>
      <name val="Arial"/>
      <family val="2"/>
    </font>
    <font>
      <b/>
      <vertAlign val="subscript"/>
      <sz val="12"/>
      <color indexed="8"/>
      <name val="Arial"/>
      <family val="2"/>
    </font>
    <font>
      <b/>
      <vertAlign val="subscript"/>
      <sz val="14"/>
      <color indexed="8"/>
      <name val="Arial"/>
      <family val="2"/>
    </font>
    <font>
      <b/>
      <vertAlign val="subscript"/>
      <sz val="10"/>
      <color indexed="8"/>
      <name val="Arial"/>
      <family val="2"/>
    </font>
    <font>
      <b/>
      <sz val="8"/>
      <color indexed="57"/>
      <name val="Arial"/>
      <family val="2"/>
    </font>
    <font>
      <vertAlign val="superscript"/>
      <sz val="8"/>
      <color indexed="10"/>
      <name val="Arial"/>
      <family val="2"/>
    </font>
    <font>
      <sz val="8"/>
      <color indexed="10"/>
      <name val="Arial"/>
      <family val="2"/>
    </font>
    <font>
      <b/>
      <sz val="6"/>
      <color indexed="10"/>
      <name val="Arial"/>
      <family val="2"/>
    </font>
    <font>
      <b/>
      <vertAlign val="subscript"/>
      <sz val="12"/>
      <name val="Arial"/>
      <family val="2"/>
    </font>
    <font>
      <b/>
      <sz val="8"/>
      <color indexed="8"/>
      <name val="Arial"/>
      <family val="2"/>
    </font>
    <font>
      <b/>
      <vertAlign val="subscript"/>
      <sz val="12"/>
      <color indexed="10"/>
      <name val="Arial"/>
      <family val="2"/>
    </font>
    <font>
      <i/>
      <vertAlign val="subscript"/>
      <sz val="12"/>
      <color indexed="8"/>
      <name val="Arial"/>
      <family val="2"/>
    </font>
    <font>
      <b/>
      <vertAlign val="subscript"/>
      <sz val="8"/>
      <color indexed="8"/>
      <name val="Arial"/>
      <family val="2"/>
    </font>
  </fonts>
  <fills count="21">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indexed="40"/>
        <bgColor indexed="64"/>
      </patternFill>
    </fill>
    <fill>
      <patternFill patternType="solid">
        <fgColor indexed="13"/>
        <bgColor indexed="64"/>
      </patternFill>
    </fill>
    <fill>
      <patternFill patternType="solid">
        <fgColor indexed="10"/>
        <bgColor indexed="64"/>
      </patternFill>
    </fill>
    <fill>
      <patternFill patternType="solid">
        <fgColor indexed="46"/>
        <bgColor indexed="64"/>
      </patternFill>
    </fill>
    <fill>
      <patternFill patternType="solid">
        <fgColor indexed="42"/>
        <bgColor indexed="64"/>
      </patternFill>
    </fill>
    <fill>
      <patternFill patternType="solid">
        <fgColor indexed="29"/>
        <bgColor indexed="64"/>
      </patternFill>
    </fill>
    <fill>
      <patternFill patternType="solid">
        <fgColor indexed="31"/>
        <bgColor indexed="64"/>
      </patternFill>
    </fill>
    <fill>
      <patternFill patternType="solid">
        <fgColor indexed="27"/>
        <bgColor indexed="64"/>
      </patternFill>
    </fill>
    <fill>
      <patternFill patternType="solid">
        <fgColor indexed="41"/>
        <bgColor indexed="64"/>
      </patternFill>
    </fill>
    <fill>
      <patternFill patternType="darkHorizontal">
        <fgColor indexed="13"/>
        <bgColor indexed="10"/>
      </patternFill>
    </fill>
    <fill>
      <patternFill patternType="solid">
        <fgColor indexed="55"/>
        <bgColor indexed="64"/>
      </patternFill>
    </fill>
  </fills>
  <borders count="61">
    <border>
      <left/>
      <right/>
      <top/>
      <bottom/>
      <diagonal/>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style="medium"/>
      <top>
        <color indexed="63"/>
      </top>
      <bottom style="thin"/>
    </border>
    <border>
      <left style="medium"/>
      <right style="medium"/>
      <top style="medium"/>
      <bottom style="thin"/>
    </border>
    <border>
      <left>
        <color indexed="63"/>
      </left>
      <right>
        <color indexed="63"/>
      </right>
      <top style="thin"/>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thin"/>
      <bottom style="medium"/>
    </border>
    <border>
      <left style="medium"/>
      <right>
        <color indexed="63"/>
      </right>
      <top style="thin"/>
      <bottom style="medium"/>
    </border>
    <border>
      <left>
        <color indexed="63"/>
      </left>
      <right>
        <color indexed="63"/>
      </right>
      <top>
        <color indexed="63"/>
      </top>
      <bottom style="thin"/>
    </border>
    <border>
      <left>
        <color indexed="63"/>
      </left>
      <right style="medium"/>
      <top style="thin"/>
      <bottom style="medium"/>
    </border>
    <border>
      <left>
        <color indexed="63"/>
      </left>
      <right style="thin"/>
      <top>
        <color indexed="63"/>
      </top>
      <bottom>
        <color indexed="63"/>
      </bottom>
    </border>
    <border>
      <left style="medium"/>
      <right style="medium"/>
      <top style="medium"/>
      <bottom>
        <color indexed="63"/>
      </bottom>
    </border>
    <border>
      <left>
        <color indexed="63"/>
      </left>
      <right style="medium"/>
      <top style="thin"/>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medium"/>
      <top>
        <color indexed="63"/>
      </top>
      <bottom style="medium"/>
    </border>
    <border>
      <left>
        <color indexed="63"/>
      </left>
      <right style="medium"/>
      <top style="medium"/>
      <bottom>
        <color indexed="63"/>
      </bottom>
    </border>
    <border>
      <left>
        <color indexed="63"/>
      </left>
      <right style="medium"/>
      <top style="medium"/>
      <bottom style="medium"/>
    </border>
    <border>
      <left style="thin"/>
      <right style="thin"/>
      <top>
        <color indexed="63"/>
      </top>
      <bottom>
        <color indexed="63"/>
      </bottom>
    </border>
    <border>
      <left style="medium"/>
      <right>
        <color indexed="63"/>
      </right>
      <top style="medium"/>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thin"/>
      <top>
        <color indexed="63"/>
      </top>
      <bottom style="thin"/>
    </border>
    <border>
      <left style="medium"/>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medium"/>
    </border>
    <border>
      <left style="medium"/>
      <right style="medium"/>
      <top>
        <color indexed="63"/>
      </top>
      <bottom>
        <color indexed="63"/>
      </bottom>
    </border>
    <border>
      <left>
        <color indexed="63"/>
      </left>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454">
    <xf numFmtId="0" fontId="0" fillId="0" borderId="0" xfId="0" applyAlignment="1">
      <alignment/>
    </xf>
    <xf numFmtId="0" fontId="3" fillId="0" borderId="0" xfId="0" applyFont="1" applyAlignment="1">
      <alignment/>
    </xf>
    <xf numFmtId="0" fontId="4" fillId="0" borderId="0" xfId="0" applyFont="1" applyAlignment="1">
      <alignment horizontal="justify"/>
    </xf>
    <xf numFmtId="0" fontId="5" fillId="0" borderId="0" xfId="0" applyFont="1" applyAlignment="1">
      <alignment horizontal="justify"/>
    </xf>
    <xf numFmtId="0" fontId="6" fillId="0" borderId="0" xfId="0" applyFont="1" applyAlignment="1">
      <alignment horizontal="justify"/>
    </xf>
    <xf numFmtId="0" fontId="9" fillId="0" borderId="0" xfId="19" applyFont="1" applyAlignment="1" applyProtection="1">
      <alignment horizontal="justify"/>
      <protection/>
    </xf>
    <xf numFmtId="0" fontId="10" fillId="0" borderId="0" xfId="0" applyFont="1" applyAlignment="1">
      <alignment horizontal="justify"/>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Border="1" applyAlignment="1">
      <alignment vertical="center" wrapText="1"/>
    </xf>
    <xf numFmtId="0" fontId="5" fillId="0" borderId="0" xfId="0" applyFont="1" applyAlignment="1">
      <alignment vertical="center"/>
    </xf>
    <xf numFmtId="0" fontId="3" fillId="0" borderId="0" xfId="0" applyFont="1" applyAlignment="1">
      <alignment horizontal="center" vertical="center" wrapText="1"/>
    </xf>
    <xf numFmtId="0" fontId="3" fillId="0" borderId="1" xfId="0" applyFont="1" applyBorder="1" applyAlignment="1">
      <alignment/>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12" fillId="0" borderId="5" xfId="0" applyFont="1" applyBorder="1" applyAlignment="1">
      <alignment horizontal="center" vertical="center" wrapText="1"/>
    </xf>
    <xf numFmtId="0" fontId="12" fillId="0" borderId="6" xfId="0" applyFont="1" applyFill="1" applyBorder="1" applyAlignment="1">
      <alignment horizontal="center" vertical="center" wrapText="1"/>
    </xf>
    <xf numFmtId="0" fontId="21" fillId="0" borderId="7" xfId="0" applyNumberFormat="1" applyFont="1" applyFill="1" applyBorder="1" applyAlignment="1">
      <alignment horizontal="center" vertical="center" wrapText="1"/>
    </xf>
    <xf numFmtId="0" fontId="23" fillId="0" borderId="8" xfId="0" applyNumberFormat="1" applyFont="1" applyFill="1" applyBorder="1" applyAlignment="1">
      <alignment horizontal="center" vertical="center" wrapText="1"/>
    </xf>
    <xf numFmtId="0" fontId="3" fillId="0" borderId="9" xfId="0" applyFont="1" applyFill="1" applyBorder="1" applyAlignment="1">
      <alignment vertical="center"/>
    </xf>
    <xf numFmtId="0" fontId="27" fillId="0" borderId="10" xfId="0" applyFont="1" applyFill="1" applyBorder="1" applyAlignment="1">
      <alignment horizontal="center" vertical="center"/>
    </xf>
    <xf numFmtId="0" fontId="27"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9" xfId="0" applyFont="1" applyFill="1" applyBorder="1" applyAlignment="1">
      <alignment horizontal="center" vertical="center"/>
    </xf>
    <xf numFmtId="0" fontId="12" fillId="3" borderId="12" xfId="0" applyFont="1" applyFill="1" applyBorder="1" applyAlignment="1">
      <alignment horizontal="center" vertical="center" wrapText="1"/>
    </xf>
    <xf numFmtId="0" fontId="12" fillId="3" borderId="13" xfId="0" applyFont="1" applyFill="1" applyBorder="1" applyAlignment="1">
      <alignment horizontal="left" vertical="center" wrapText="1"/>
    </xf>
    <xf numFmtId="0" fontId="19" fillId="3" borderId="13" xfId="0" applyFont="1" applyFill="1" applyBorder="1" applyAlignment="1">
      <alignment horizontal="center" vertical="center" wrapText="1"/>
    </xf>
    <xf numFmtId="2" fontId="19" fillId="3" borderId="13" xfId="0" applyNumberFormat="1" applyFont="1" applyFill="1" applyBorder="1" applyAlignment="1">
      <alignment horizontal="center" vertical="center" wrapText="1"/>
    </xf>
    <xf numFmtId="172" fontId="19" fillId="3" borderId="13" xfId="0" applyNumberFormat="1" applyFont="1" applyFill="1" applyBorder="1" applyAlignment="1">
      <alignment horizontal="center" vertical="center" wrapText="1"/>
    </xf>
    <xf numFmtId="172" fontId="29" fillId="3" borderId="14" xfId="0" applyNumberFormat="1" applyFont="1" applyFill="1" applyBorder="1" applyAlignment="1">
      <alignment horizontal="center" vertical="center" wrapText="1"/>
    </xf>
    <xf numFmtId="0" fontId="3" fillId="0" borderId="15" xfId="0" applyFont="1" applyFill="1" applyBorder="1" applyAlignment="1">
      <alignment vertical="center"/>
    </xf>
    <xf numFmtId="0" fontId="27" fillId="0" borderId="15" xfId="0" applyFont="1" applyFill="1" applyBorder="1" applyAlignment="1">
      <alignment horizontal="center" vertical="center"/>
    </xf>
    <xf numFmtId="0" fontId="2" fillId="2" borderId="15" xfId="0" applyFont="1" applyFill="1" applyBorder="1" applyAlignment="1">
      <alignment horizontal="center" vertical="center"/>
    </xf>
    <xf numFmtId="0" fontId="3" fillId="0" borderId="15" xfId="0" applyFont="1" applyFill="1" applyBorder="1" applyAlignment="1">
      <alignment horizontal="center" vertical="center"/>
    </xf>
    <xf numFmtId="0" fontId="27" fillId="2" borderId="14" xfId="0" applyFont="1" applyFill="1" applyBorder="1" applyAlignment="1">
      <alignment horizontal="center" vertical="center"/>
    </xf>
    <xf numFmtId="0" fontId="2" fillId="2" borderId="15" xfId="0" applyFont="1" applyFill="1" applyBorder="1" applyAlignment="1" quotePrefix="1">
      <alignment horizontal="center" vertical="center"/>
    </xf>
    <xf numFmtId="0" fontId="12" fillId="4" borderId="12" xfId="0" applyFont="1" applyFill="1" applyBorder="1" applyAlignment="1">
      <alignment horizontal="center" vertical="center" wrapText="1"/>
    </xf>
    <xf numFmtId="0" fontId="12" fillId="4" borderId="13" xfId="0" applyFont="1" applyFill="1" applyBorder="1" applyAlignment="1">
      <alignment horizontal="left" vertical="center" wrapText="1"/>
    </xf>
    <xf numFmtId="0" fontId="19" fillId="4" borderId="13" xfId="0" applyFont="1" applyFill="1" applyBorder="1" applyAlignment="1">
      <alignment horizontal="center" vertical="center" wrapText="1"/>
    </xf>
    <xf numFmtId="2" fontId="19" fillId="4" borderId="13" xfId="0" applyNumberFormat="1" applyFont="1" applyFill="1" applyBorder="1" applyAlignment="1">
      <alignment horizontal="center" vertical="center" wrapText="1"/>
    </xf>
    <xf numFmtId="2" fontId="29" fillId="4" borderId="14" xfId="0" applyNumberFormat="1" applyFont="1" applyFill="1" applyBorder="1" applyAlignment="1">
      <alignment horizontal="center" vertical="center" wrapText="1"/>
    </xf>
    <xf numFmtId="0" fontId="27" fillId="0" borderId="9" xfId="0" applyFont="1" applyFill="1" applyBorder="1" applyAlignment="1">
      <alignment horizontal="center" vertical="center"/>
    </xf>
    <xf numFmtId="0" fontId="30" fillId="3" borderId="12" xfId="0" applyFont="1" applyFill="1" applyBorder="1" applyAlignment="1">
      <alignment horizontal="center" vertical="center" wrapText="1"/>
    </xf>
    <xf numFmtId="0" fontId="30" fillId="3" borderId="13" xfId="0" applyFont="1" applyFill="1" applyBorder="1" applyAlignment="1">
      <alignment horizontal="left" vertical="center" wrapText="1"/>
    </xf>
    <xf numFmtId="0" fontId="19" fillId="3" borderId="13" xfId="0" applyNumberFormat="1" applyFont="1" applyFill="1" applyBorder="1" applyAlignment="1">
      <alignment horizontal="center" vertical="center" wrapText="1"/>
    </xf>
    <xf numFmtId="0" fontId="27" fillId="3" borderId="13" xfId="0" applyNumberFormat="1" applyFont="1" applyFill="1" applyBorder="1" applyAlignment="1">
      <alignment horizontal="center" vertical="center" wrapText="1"/>
    </xf>
    <xf numFmtId="0" fontId="29" fillId="3" borderId="14" xfId="0" applyFont="1" applyFill="1" applyBorder="1" applyAlignment="1">
      <alignment horizontal="center" vertical="center" wrapText="1"/>
    </xf>
    <xf numFmtId="0" fontId="19" fillId="4" borderId="13" xfId="0" applyNumberFormat="1" applyFont="1" applyFill="1" applyBorder="1" applyAlignment="1">
      <alignment horizontal="center" vertical="center" wrapText="1"/>
    </xf>
    <xf numFmtId="0" fontId="27" fillId="4" borderId="13" xfId="0" applyNumberFormat="1" applyFont="1" applyFill="1" applyBorder="1" applyAlignment="1">
      <alignment horizontal="center" vertical="center" wrapText="1"/>
    </xf>
    <xf numFmtId="0" fontId="29" fillId="4" borderId="1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left" vertical="center" wrapText="1"/>
    </xf>
    <xf numFmtId="0" fontId="19" fillId="5" borderId="13" xfId="0" applyFont="1" applyFill="1" applyBorder="1" applyAlignment="1">
      <alignment horizontal="center" vertical="center" wrapText="1"/>
    </xf>
    <xf numFmtId="2" fontId="27" fillId="5" borderId="13" xfId="0" applyNumberFormat="1" applyFont="1" applyFill="1" applyBorder="1" applyAlignment="1">
      <alignment horizontal="center" vertical="center" wrapText="1"/>
    </xf>
    <xf numFmtId="2" fontId="29" fillId="5" borderId="14" xfId="0" applyNumberFormat="1" applyFont="1" applyFill="1" applyBorder="1" applyAlignment="1">
      <alignment horizontal="center" vertical="center" wrapText="1"/>
    </xf>
    <xf numFmtId="0" fontId="29" fillId="5" borderId="14" xfId="0" applyFont="1" applyFill="1" applyBorder="1" applyAlignment="1">
      <alignment horizontal="center" vertical="center" wrapText="1"/>
    </xf>
    <xf numFmtId="0" fontId="33" fillId="2" borderId="16" xfId="0" applyFont="1" applyFill="1" applyBorder="1" applyAlignment="1">
      <alignment vertical="center"/>
    </xf>
    <xf numFmtId="0" fontId="12" fillId="5" borderId="17"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19" fillId="5" borderId="18" xfId="0" applyFont="1" applyFill="1" applyBorder="1" applyAlignment="1">
      <alignment horizontal="center" vertical="center" wrapText="1"/>
    </xf>
    <xf numFmtId="0" fontId="29" fillId="5" borderId="19" xfId="0" applyFont="1" applyFill="1" applyBorder="1" applyAlignment="1">
      <alignment horizontal="center" vertical="center" wrapText="1"/>
    </xf>
    <xf numFmtId="0" fontId="12" fillId="6" borderId="20" xfId="0" applyFont="1" applyFill="1" applyBorder="1" applyAlignment="1">
      <alignment horizontal="center" vertical="center"/>
    </xf>
    <xf numFmtId="0" fontId="24" fillId="6" borderId="6" xfId="0" applyFont="1" applyFill="1" applyBorder="1" applyAlignment="1">
      <alignment horizontal="center" vertical="center"/>
    </xf>
    <xf numFmtId="0" fontId="24" fillId="6" borderId="6" xfId="0" applyFont="1" applyFill="1" applyBorder="1" applyAlignment="1">
      <alignment horizontal="center"/>
    </xf>
    <xf numFmtId="2" fontId="21" fillId="6" borderId="6" xfId="0" applyNumberFormat="1" applyFont="1" applyFill="1" applyBorder="1" applyAlignment="1">
      <alignment horizontal="center"/>
    </xf>
    <xf numFmtId="0" fontId="23" fillId="6" borderId="21" xfId="0" applyNumberFormat="1" applyFont="1" applyFill="1" applyBorder="1" applyAlignment="1">
      <alignment horizontal="center"/>
    </xf>
    <xf numFmtId="0" fontId="12" fillId="6" borderId="12" xfId="0" applyFont="1" applyFill="1" applyBorder="1" applyAlignment="1">
      <alignment horizontal="center" vertical="center"/>
    </xf>
    <xf numFmtId="0" fontId="24" fillId="6" borderId="13" xfId="0" applyFont="1" applyFill="1" applyBorder="1" applyAlignment="1">
      <alignment horizontal="center"/>
    </xf>
    <xf numFmtId="0" fontId="21" fillId="6" borderId="13" xfId="0" applyNumberFormat="1" applyFont="1" applyFill="1" applyBorder="1" applyAlignment="1">
      <alignment horizontal="center"/>
    </xf>
    <xf numFmtId="0" fontId="29" fillId="6" borderId="22" xfId="0" applyFont="1" applyFill="1" applyBorder="1" applyAlignment="1">
      <alignment horizontal="center"/>
    </xf>
    <xf numFmtId="0" fontId="12" fillId="6" borderId="17" xfId="0" applyFont="1" applyFill="1" applyBorder="1" applyAlignment="1">
      <alignment horizontal="center" vertical="center"/>
    </xf>
    <xf numFmtId="0" fontId="24" fillId="6" borderId="18" xfId="0" applyFont="1" applyFill="1" applyBorder="1" applyAlignment="1">
      <alignment horizontal="center"/>
    </xf>
    <xf numFmtId="172" fontId="21" fillId="6" borderId="18" xfId="0" applyNumberFormat="1" applyFont="1" applyFill="1" applyBorder="1" applyAlignment="1">
      <alignment horizontal="center"/>
    </xf>
    <xf numFmtId="0" fontId="29" fillId="6" borderId="23" xfId="0" applyFont="1" applyFill="1" applyBorder="1" applyAlignment="1">
      <alignment horizontal="center"/>
    </xf>
    <xf numFmtId="0" fontId="3" fillId="0" borderId="24" xfId="0" applyFont="1" applyFill="1" applyBorder="1" applyAlignment="1">
      <alignment vertical="center"/>
    </xf>
    <xf numFmtId="0" fontId="27" fillId="0" borderId="24" xfId="0" applyFont="1" applyFill="1" applyBorder="1" applyAlignment="1">
      <alignment horizontal="center" vertical="center"/>
    </xf>
    <xf numFmtId="0" fontId="27" fillId="2" borderId="25" xfId="0" applyFont="1" applyFill="1" applyBorder="1" applyAlignment="1">
      <alignment horizontal="center" vertical="center"/>
    </xf>
    <xf numFmtId="0" fontId="2" fillId="2" borderId="24" xfId="0" applyFont="1" applyFill="1" applyBorder="1" applyAlignment="1">
      <alignment horizontal="center" vertical="center"/>
    </xf>
    <xf numFmtId="0" fontId="3" fillId="0" borderId="24" xfId="0" applyFont="1" applyFill="1" applyBorder="1" applyAlignment="1">
      <alignment horizontal="center" vertical="center"/>
    </xf>
    <xf numFmtId="0" fontId="33" fillId="3" borderId="26" xfId="0" applyFont="1" applyFill="1" applyBorder="1" applyAlignment="1">
      <alignment horizontal="left"/>
    </xf>
    <xf numFmtId="0" fontId="27" fillId="3" borderId="9" xfId="0" applyFont="1" applyFill="1" applyBorder="1" applyAlignment="1">
      <alignment horizontal="center" vertical="center"/>
    </xf>
    <xf numFmtId="0" fontId="27" fillId="3" borderId="10" xfId="0" applyFont="1" applyFill="1" applyBorder="1" applyAlignment="1">
      <alignment horizontal="center" vertical="center"/>
    </xf>
    <xf numFmtId="0" fontId="2" fillId="3" borderId="26" xfId="0" applyFont="1" applyFill="1" applyBorder="1" applyAlignment="1">
      <alignment horizontal="center" vertical="center"/>
    </xf>
    <xf numFmtId="0" fontId="5" fillId="3" borderId="9" xfId="0" applyFont="1" applyFill="1" applyBorder="1" applyAlignment="1">
      <alignment horizontal="center" vertical="center"/>
    </xf>
    <xf numFmtId="0" fontId="33" fillId="7" borderId="16" xfId="0" applyFont="1" applyFill="1" applyBorder="1" applyAlignment="1">
      <alignment horizontal="left"/>
    </xf>
    <xf numFmtId="0" fontId="27" fillId="7" borderId="15" xfId="0" applyFont="1" applyFill="1" applyBorder="1" applyAlignment="1">
      <alignment horizontal="center" vertical="center"/>
    </xf>
    <xf numFmtId="0" fontId="27" fillId="7" borderId="16" xfId="0" applyFont="1" applyFill="1" applyBorder="1" applyAlignment="1">
      <alignment horizontal="center" vertical="center"/>
    </xf>
    <xf numFmtId="0" fontId="2" fillId="7" borderId="15" xfId="0" applyFont="1" applyFill="1" applyBorder="1" applyAlignment="1">
      <alignment horizontal="center" vertical="center"/>
    </xf>
    <xf numFmtId="0" fontId="5" fillId="7" borderId="15" xfId="0" applyFont="1" applyFill="1" applyBorder="1" applyAlignment="1">
      <alignment horizontal="center" vertical="center"/>
    </xf>
    <xf numFmtId="0" fontId="33" fillId="4" borderId="13" xfId="0" applyFont="1" applyFill="1" applyBorder="1" applyAlignment="1">
      <alignment/>
    </xf>
    <xf numFmtId="0" fontId="27" fillId="4" borderId="9" xfId="0" applyFont="1" applyFill="1" applyBorder="1" applyAlignment="1">
      <alignment horizontal="center" vertical="center"/>
    </xf>
    <xf numFmtId="0" fontId="27" fillId="4" borderId="16" xfId="0" applyFont="1" applyFill="1" applyBorder="1" applyAlignment="1">
      <alignment horizontal="center" vertical="center"/>
    </xf>
    <xf numFmtId="0" fontId="2" fillId="4" borderId="15" xfId="0" applyFont="1" applyFill="1" applyBorder="1" applyAlignment="1">
      <alignment horizontal="center" vertical="center"/>
    </xf>
    <xf numFmtId="0" fontId="5" fillId="4" borderId="9" xfId="0" applyFont="1" applyFill="1" applyBorder="1" applyAlignment="1">
      <alignment horizontal="center" vertical="center"/>
    </xf>
    <xf numFmtId="0" fontId="33" fillId="8" borderId="13" xfId="0" applyFont="1" applyFill="1" applyBorder="1" applyAlignment="1">
      <alignment/>
    </xf>
    <xf numFmtId="0" fontId="27" fillId="8" borderId="15" xfId="0" applyFont="1" applyFill="1" applyBorder="1" applyAlignment="1">
      <alignment horizontal="center" vertical="center"/>
    </xf>
    <xf numFmtId="0" fontId="2" fillId="8" borderId="11" xfId="0" applyFont="1" applyFill="1" applyBorder="1" applyAlignment="1">
      <alignment horizontal="center" vertical="center"/>
    </xf>
    <xf numFmtId="0" fontId="5" fillId="8" borderId="15" xfId="0" applyFont="1" applyFill="1" applyBorder="1" applyAlignment="1">
      <alignment horizontal="center" vertical="center"/>
    </xf>
    <xf numFmtId="0" fontId="33" fillId="8" borderId="14" xfId="0" applyFont="1" applyFill="1" applyBorder="1" applyAlignment="1">
      <alignment/>
    </xf>
    <xf numFmtId="0" fontId="3" fillId="6" borderId="13" xfId="0" applyFont="1" applyFill="1" applyBorder="1" applyAlignment="1">
      <alignment horizontal="left" vertical="center"/>
    </xf>
    <xf numFmtId="0" fontId="27" fillId="6" borderId="15" xfId="0" applyFont="1" applyFill="1" applyBorder="1" applyAlignment="1">
      <alignment horizontal="center" vertical="center"/>
    </xf>
    <xf numFmtId="0" fontId="27" fillId="6" borderId="16" xfId="0" applyFont="1" applyFill="1" applyBorder="1" applyAlignment="1">
      <alignment horizontal="center" vertical="center"/>
    </xf>
    <xf numFmtId="0" fontId="37" fillId="6" borderId="15" xfId="0" applyFont="1" applyFill="1" applyBorder="1" applyAlignment="1">
      <alignment horizontal="center" vertical="center"/>
    </xf>
    <xf numFmtId="172" fontId="5" fillId="6" borderId="15" xfId="0" applyNumberFormat="1" applyFont="1" applyFill="1" applyBorder="1" applyAlignment="1">
      <alignment horizontal="center" vertical="center"/>
    </xf>
    <xf numFmtId="0" fontId="5" fillId="6" borderId="15" xfId="0" applyFont="1" applyFill="1" applyBorder="1" applyAlignment="1">
      <alignment horizontal="center" vertical="center"/>
    </xf>
    <xf numFmtId="0" fontId="3" fillId="6" borderId="17" xfId="0" applyFont="1" applyFill="1" applyBorder="1" applyAlignment="1">
      <alignment horizontal="left" vertical="center"/>
    </xf>
    <xf numFmtId="0" fontId="27" fillId="6" borderId="24" xfId="0" applyFont="1" applyFill="1" applyBorder="1" applyAlignment="1">
      <alignment horizontal="center" vertical="center"/>
    </xf>
    <xf numFmtId="0" fontId="27" fillId="6" borderId="27" xfId="0" applyFont="1" applyFill="1" applyBorder="1" applyAlignment="1">
      <alignment horizontal="center" vertical="center"/>
    </xf>
    <xf numFmtId="0" fontId="37" fillId="6" borderId="24" xfId="0" applyFont="1" applyFill="1" applyBorder="1" applyAlignment="1">
      <alignment horizontal="center" vertical="center"/>
    </xf>
    <xf numFmtId="0" fontId="5" fillId="6" borderId="24" xfId="0" applyFont="1" applyFill="1" applyBorder="1" applyAlignment="1">
      <alignment horizontal="center" vertical="center"/>
    </xf>
    <xf numFmtId="0" fontId="33" fillId="5" borderId="28" xfId="0" applyFont="1" applyFill="1" applyBorder="1" applyAlignment="1">
      <alignment vertical="center"/>
    </xf>
    <xf numFmtId="0" fontId="27" fillId="5" borderId="9" xfId="0" applyFont="1" applyFill="1" applyBorder="1" applyAlignment="1">
      <alignment horizontal="center" vertical="center"/>
    </xf>
    <xf numFmtId="0" fontId="27" fillId="5" borderId="10" xfId="0" applyFont="1" applyFill="1" applyBorder="1" applyAlignment="1">
      <alignment horizontal="center" vertical="center"/>
    </xf>
    <xf numFmtId="0" fontId="2" fillId="5" borderId="0" xfId="0" applyFont="1" applyFill="1" applyBorder="1" applyAlignment="1">
      <alignment horizontal="center" vertical="center"/>
    </xf>
    <xf numFmtId="0" fontId="0" fillId="5" borderId="29" xfId="0" applyFont="1" applyFill="1" applyBorder="1" applyAlignment="1">
      <alignment horizontal="center" vertical="center"/>
    </xf>
    <xf numFmtId="0" fontId="33" fillId="5" borderId="30" xfId="0" applyFont="1" applyFill="1" applyBorder="1" applyAlignment="1">
      <alignment vertical="center"/>
    </xf>
    <xf numFmtId="0" fontId="27" fillId="5" borderId="30" xfId="0" applyFont="1" applyFill="1" applyBorder="1" applyAlignment="1">
      <alignment horizontal="center" vertical="center"/>
    </xf>
    <xf numFmtId="0" fontId="27" fillId="5" borderId="15" xfId="0" applyFont="1" applyFill="1" applyBorder="1" applyAlignment="1">
      <alignment horizontal="center" vertical="center"/>
    </xf>
    <xf numFmtId="0" fontId="2" fillId="5" borderId="31" xfId="0" applyFont="1" applyFill="1" applyBorder="1" applyAlignment="1">
      <alignment horizontal="center" vertical="center"/>
    </xf>
    <xf numFmtId="0" fontId="0" fillId="5" borderId="15" xfId="0" applyFont="1" applyFill="1" applyBorder="1" applyAlignment="1">
      <alignment horizontal="center" vertical="center"/>
    </xf>
    <xf numFmtId="0" fontId="2" fillId="5" borderId="11" xfId="0" applyFont="1" applyFill="1" applyBorder="1" applyAlignment="1">
      <alignment horizontal="center" vertical="center"/>
    </xf>
    <xf numFmtId="0" fontId="33" fillId="3" borderId="30" xfId="0" applyFont="1" applyFill="1" applyBorder="1" applyAlignment="1">
      <alignment vertical="center"/>
    </xf>
    <xf numFmtId="0" fontId="27" fillId="3" borderId="30" xfId="0" applyFont="1" applyFill="1" applyBorder="1" applyAlignment="1">
      <alignment horizontal="center" vertical="center"/>
    </xf>
    <xf numFmtId="0" fontId="27" fillId="3" borderId="15" xfId="0" applyFont="1" applyFill="1" applyBorder="1" applyAlignment="1">
      <alignment horizontal="center" vertical="center"/>
    </xf>
    <xf numFmtId="0" fontId="2" fillId="3" borderId="11" xfId="0" applyFont="1" applyFill="1" applyBorder="1" applyAlignment="1">
      <alignment horizontal="center" vertical="center"/>
    </xf>
    <xf numFmtId="0" fontId="0" fillId="3" borderId="15" xfId="0" applyFont="1" applyFill="1" applyBorder="1" applyAlignment="1">
      <alignment horizontal="center" vertical="center"/>
    </xf>
    <xf numFmtId="0" fontId="38" fillId="6" borderId="22" xfId="0" applyFont="1" applyFill="1" applyBorder="1" applyAlignment="1">
      <alignment horizontal="center"/>
    </xf>
    <xf numFmtId="0" fontId="0" fillId="3" borderId="15" xfId="0" applyFont="1" applyFill="1" applyBorder="1" applyAlignment="1">
      <alignment vertical="center"/>
    </xf>
    <xf numFmtId="0" fontId="38" fillId="6" borderId="23" xfId="0" applyFont="1" applyFill="1" applyBorder="1" applyAlignment="1">
      <alignment horizontal="center"/>
    </xf>
    <xf numFmtId="0" fontId="0" fillId="3" borderId="32" xfId="0" applyFont="1" applyFill="1" applyBorder="1" applyAlignment="1">
      <alignment vertical="center"/>
    </xf>
    <xf numFmtId="0" fontId="27" fillId="3" borderId="33" xfId="0" applyFont="1" applyFill="1" applyBorder="1" applyAlignment="1">
      <alignment horizontal="center" vertical="center"/>
    </xf>
    <xf numFmtId="0" fontId="27" fillId="3" borderId="32" xfId="0" applyFont="1" applyFill="1" applyBorder="1" applyAlignment="1">
      <alignment horizontal="center" vertical="center"/>
    </xf>
    <xf numFmtId="0" fontId="2"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9" xfId="0" applyFont="1" applyFill="1" applyBorder="1" applyAlignment="1">
      <alignment vertical="center"/>
    </xf>
    <xf numFmtId="0" fontId="27" fillId="3" borderId="34" xfId="0" applyFont="1" applyFill="1" applyBorder="1" applyAlignment="1">
      <alignment horizontal="center" vertical="center"/>
    </xf>
    <xf numFmtId="0" fontId="0" fillId="3" borderId="9" xfId="0" applyFont="1" applyFill="1" applyBorder="1" applyAlignment="1">
      <alignment horizontal="center" vertical="center"/>
    </xf>
    <xf numFmtId="0" fontId="40" fillId="3" borderId="9" xfId="0" applyFont="1" applyFill="1" applyBorder="1" applyAlignment="1">
      <alignment vertical="center"/>
    </xf>
    <xf numFmtId="0" fontId="23" fillId="3" borderId="34" xfId="0" applyFont="1" applyFill="1" applyBorder="1" applyAlignment="1">
      <alignment horizontal="center" vertical="center"/>
    </xf>
    <xf numFmtId="0" fontId="23" fillId="3" borderId="9" xfId="0" applyFont="1" applyFill="1" applyBorder="1" applyAlignment="1">
      <alignment horizontal="center" vertical="center"/>
    </xf>
    <xf numFmtId="0" fontId="42" fillId="3" borderId="30" xfId="0" applyFont="1" applyFill="1" applyBorder="1" applyAlignment="1">
      <alignment horizontal="center" vertical="center"/>
    </xf>
    <xf numFmtId="0" fontId="40" fillId="3" borderId="9" xfId="0" applyFont="1" applyFill="1" applyBorder="1" applyAlignment="1">
      <alignment horizontal="center" vertical="center"/>
    </xf>
    <xf numFmtId="0" fontId="0" fillId="4" borderId="9" xfId="0" applyFont="1" applyFill="1" applyBorder="1" applyAlignment="1">
      <alignment vertical="center"/>
    </xf>
    <xf numFmtId="0" fontId="27" fillId="4" borderId="34" xfId="0" applyFont="1" applyFill="1" applyBorder="1" applyAlignment="1">
      <alignment horizontal="center" vertical="center"/>
    </xf>
    <xf numFmtId="0" fontId="2" fillId="4" borderId="26" xfId="0" applyFont="1" applyFill="1" applyBorder="1" applyAlignment="1">
      <alignment horizontal="center" vertical="center"/>
    </xf>
    <xf numFmtId="0" fontId="0" fillId="4" borderId="9"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xf>
    <xf numFmtId="0" fontId="0" fillId="4" borderId="15" xfId="0" applyFont="1" applyFill="1" applyBorder="1" applyAlignment="1">
      <alignment vertical="center"/>
    </xf>
    <xf numFmtId="0" fontId="27" fillId="4" borderId="30" xfId="0" applyFont="1" applyFill="1" applyBorder="1" applyAlignment="1">
      <alignment horizontal="center" vertical="center"/>
    </xf>
    <xf numFmtId="0" fontId="27" fillId="4" borderId="15" xfId="0" applyFont="1" applyFill="1" applyBorder="1" applyAlignment="1">
      <alignment horizontal="center" vertical="center"/>
    </xf>
    <xf numFmtId="0" fontId="2" fillId="4" borderId="30" xfId="0" applyFont="1" applyFill="1" applyBorder="1" applyAlignment="1">
      <alignment horizontal="center" vertical="center"/>
    </xf>
    <xf numFmtId="0" fontId="0" fillId="4" borderId="15"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xf>
    <xf numFmtId="0" fontId="10" fillId="0" borderId="29" xfId="0" applyFont="1" applyFill="1" applyBorder="1" applyAlignment="1">
      <alignment horizontal="center" vertical="center"/>
    </xf>
    <xf numFmtId="0" fontId="10" fillId="0" borderId="3"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35" xfId="0" applyFont="1" applyFill="1" applyBorder="1" applyAlignment="1">
      <alignment horizontal="center"/>
    </xf>
    <xf numFmtId="0" fontId="5" fillId="0" borderId="10" xfId="0" applyFont="1" applyFill="1" applyBorder="1" applyAlignment="1">
      <alignment horizontal="center"/>
    </xf>
    <xf numFmtId="0" fontId="2" fillId="4" borderId="11"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xf>
    <xf numFmtId="0" fontId="5" fillId="0" borderId="11" xfId="0" applyFont="1" applyFill="1" applyBorder="1" applyAlignment="1">
      <alignment horizontal="center"/>
    </xf>
    <xf numFmtId="0" fontId="0" fillId="4" borderId="24" xfId="0" applyFont="1" applyFill="1" applyBorder="1" applyAlignment="1">
      <alignment vertical="center"/>
    </xf>
    <xf numFmtId="0" fontId="27" fillId="4" borderId="27" xfId="0" applyFont="1" applyFill="1" applyBorder="1" applyAlignment="1">
      <alignment horizontal="center" vertical="center"/>
    </xf>
    <xf numFmtId="0" fontId="27" fillId="4" borderId="24"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24" xfId="0" applyFont="1" applyFill="1" applyBorder="1" applyAlignment="1">
      <alignment horizontal="center" vertical="center"/>
    </xf>
    <xf numFmtId="0" fontId="46" fillId="0" borderId="0" xfId="0" applyFont="1" applyAlignment="1">
      <alignment vertical="center"/>
    </xf>
    <xf numFmtId="0" fontId="10" fillId="0" borderId="15" xfId="0" applyFont="1" applyFill="1" applyBorder="1" applyAlignment="1">
      <alignment horizontal="center" vertical="center" wrapText="1"/>
    </xf>
    <xf numFmtId="2" fontId="5" fillId="0" borderId="15" xfId="0" applyNumberFormat="1" applyFont="1" applyFill="1" applyBorder="1" applyAlignment="1">
      <alignment horizontal="center"/>
    </xf>
    <xf numFmtId="172" fontId="5" fillId="0" borderId="15" xfId="0" applyNumberFormat="1" applyFont="1" applyFill="1" applyBorder="1" applyAlignment="1">
      <alignment horizontal="center"/>
    </xf>
    <xf numFmtId="0" fontId="5" fillId="0" borderId="0" xfId="0" applyFont="1" applyFill="1" applyBorder="1" applyAlignment="1">
      <alignment horizontal="center" vertical="center"/>
    </xf>
    <xf numFmtId="1"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0" borderId="24" xfId="0" applyFont="1" applyFill="1" applyBorder="1" applyAlignment="1">
      <alignment horizontal="center"/>
    </xf>
    <xf numFmtId="0" fontId="5" fillId="0" borderId="36" xfId="0" applyFont="1" applyFill="1" applyBorder="1" applyAlignment="1">
      <alignment horizontal="center"/>
    </xf>
    <xf numFmtId="0" fontId="5" fillId="0" borderId="24"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0" xfId="0" applyFont="1" applyFill="1" applyBorder="1" applyAlignment="1">
      <alignment horizontal="left"/>
    </xf>
    <xf numFmtId="0" fontId="47" fillId="0" borderId="0" xfId="0" applyFont="1" applyFill="1" applyBorder="1" applyAlignment="1">
      <alignment horizontal="center"/>
    </xf>
    <xf numFmtId="0" fontId="10"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2" fontId="0" fillId="0" borderId="13" xfId="0" applyNumberFormat="1" applyFont="1" applyFill="1" applyBorder="1" applyAlignment="1">
      <alignment horizontal="center" vertical="center" wrapText="1"/>
    </xf>
    <xf numFmtId="172" fontId="0" fillId="0" borderId="13" xfId="0" applyNumberFormat="1" applyFont="1" applyFill="1" applyBorder="1" applyAlignment="1">
      <alignment horizontal="center" vertical="center" wrapText="1"/>
    </xf>
    <xf numFmtId="172" fontId="0" fillId="0" borderId="22" xfId="0" applyNumberFormat="1" applyFont="1" applyFill="1" applyBorder="1" applyAlignment="1">
      <alignment horizontal="center" vertical="center" wrapText="1"/>
    </xf>
    <xf numFmtId="11" fontId="5" fillId="0" borderId="37" xfId="0" applyNumberFormat="1" applyFont="1" applyFill="1" applyBorder="1" applyAlignment="1">
      <alignment horizontal="center"/>
    </xf>
    <xf numFmtId="11" fontId="5" fillId="0" borderId="10" xfId="0" applyNumberFormat="1" applyFont="1" applyFill="1" applyBorder="1" applyAlignment="1">
      <alignment horizontal="center"/>
    </xf>
    <xf numFmtId="11" fontId="5" fillId="0" borderId="38" xfId="0" applyNumberFormat="1" applyFont="1" applyFill="1" applyBorder="1" applyAlignment="1">
      <alignment horizontal="center"/>
    </xf>
    <xf numFmtId="11" fontId="5" fillId="0" borderId="39" xfId="0" applyNumberFormat="1" applyFont="1" applyFill="1" applyBorder="1" applyAlignment="1">
      <alignment horizontal="center"/>
    </xf>
    <xf numFmtId="11" fontId="5" fillId="0" borderId="15" xfId="0" applyNumberFormat="1" applyFont="1" applyFill="1" applyBorder="1" applyAlignment="1">
      <alignment horizontal="center"/>
    </xf>
    <xf numFmtId="11" fontId="5" fillId="0" borderId="30" xfId="0" applyNumberFormat="1" applyFont="1" applyFill="1" applyBorder="1" applyAlignment="1">
      <alignment horizontal="center"/>
    </xf>
    <xf numFmtId="0" fontId="0" fillId="0" borderId="0" xfId="0" applyFont="1" applyFill="1" applyBorder="1" applyAlignment="1">
      <alignment/>
    </xf>
    <xf numFmtId="2" fontId="0" fillId="0" borderId="22"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5"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10"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ont="1" applyFill="1" applyBorder="1" applyAlignment="1">
      <alignment horizontal="center" vertical="center" wrapText="1"/>
    </xf>
    <xf numFmtId="11" fontId="5" fillId="0" borderId="25" xfId="0" applyNumberFormat="1" applyFont="1" applyFill="1" applyBorder="1" applyAlignment="1">
      <alignment horizontal="center"/>
    </xf>
    <xf numFmtId="11" fontId="5" fillId="0" borderId="24" xfId="0" applyNumberFormat="1" applyFont="1" applyFill="1" applyBorder="1" applyAlignment="1">
      <alignment horizontal="center"/>
    </xf>
    <xf numFmtId="11" fontId="5" fillId="0" borderId="27" xfId="0" applyNumberFormat="1" applyFont="1" applyFill="1" applyBorder="1" applyAlignment="1">
      <alignment horizontal="center"/>
    </xf>
    <xf numFmtId="0" fontId="33" fillId="0" borderId="0" xfId="0" applyFont="1" applyAlignment="1">
      <alignment horizontal="center" vertical="center"/>
    </xf>
    <xf numFmtId="0" fontId="33" fillId="0" borderId="0" xfId="0" applyFont="1" applyAlignment="1">
      <alignment horizont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 fillId="9" borderId="3" xfId="0" applyFont="1" applyFill="1" applyBorder="1" applyAlignment="1">
      <alignment horizontal="center" vertical="center"/>
    </xf>
    <xf numFmtId="0" fontId="3" fillId="10" borderId="29" xfId="0" applyFont="1" applyFill="1" applyBorder="1" applyAlignment="1">
      <alignment horizontal="center" vertical="center"/>
    </xf>
    <xf numFmtId="0" fontId="3" fillId="11" borderId="3" xfId="0" applyFont="1" applyFill="1" applyBorder="1" applyAlignment="1">
      <alignment horizontal="center" vertical="center"/>
    </xf>
    <xf numFmtId="0" fontId="3" fillId="12" borderId="40" xfId="0" applyFont="1" applyFill="1" applyBorder="1" applyAlignment="1">
      <alignment horizontal="center" vertical="center"/>
    </xf>
    <xf numFmtId="0" fontId="3" fillId="0" borderId="2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33" fillId="0" borderId="13" xfId="0" applyFont="1" applyFill="1" applyBorder="1" applyAlignment="1">
      <alignment horizontal="center" vertical="center" wrapText="1"/>
    </xf>
    <xf numFmtId="2" fontId="33" fillId="9" borderId="13" xfId="0" applyNumberFormat="1" applyFont="1" applyFill="1" applyBorder="1" applyAlignment="1">
      <alignment horizontal="center" vertical="center" wrapText="1"/>
    </xf>
    <xf numFmtId="0" fontId="33" fillId="10" borderId="13" xfId="0" applyFont="1" applyFill="1" applyBorder="1" applyAlignment="1">
      <alignment horizontal="center" vertical="center" wrapText="1"/>
    </xf>
    <xf numFmtId="172" fontId="33" fillId="9" borderId="13" xfId="0" applyNumberFormat="1" applyFont="1" applyFill="1" applyBorder="1" applyAlignment="1">
      <alignment horizontal="center" vertical="center" wrapText="1"/>
    </xf>
    <xf numFmtId="172" fontId="0" fillId="0" borderId="30" xfId="0" applyNumberFormat="1" applyFont="1" applyFill="1" applyBorder="1" applyAlignment="1">
      <alignment horizontal="center" vertical="center" wrapText="1"/>
    </xf>
    <xf numFmtId="2" fontId="33" fillId="12" borderId="13" xfId="0" applyNumberFormat="1" applyFont="1" applyFill="1" applyBorder="1" applyAlignment="1">
      <alignment horizontal="center" vertical="center" wrapText="1"/>
    </xf>
    <xf numFmtId="172" fontId="33" fillId="0" borderId="13" xfId="0" applyNumberFormat="1" applyFont="1" applyFill="1" applyBorder="1" applyAlignment="1">
      <alignment horizontal="center" vertical="center" wrapText="1"/>
    </xf>
    <xf numFmtId="2" fontId="33" fillId="0" borderId="13" xfId="0" applyNumberFormat="1" applyFont="1" applyFill="1" applyBorder="1" applyAlignment="1">
      <alignment horizontal="center" vertical="center" wrapText="1"/>
    </xf>
    <xf numFmtId="2" fontId="0" fillId="0" borderId="30" xfId="0" applyNumberFormat="1" applyFont="1" applyFill="1" applyBorder="1" applyAlignment="1">
      <alignment horizontal="center" vertical="center" wrapText="1"/>
    </xf>
    <xf numFmtId="0" fontId="0" fillId="0" borderId="30" xfId="0" applyFont="1" applyFill="1" applyBorder="1" applyAlignment="1">
      <alignment horizontal="center" vertical="center" wrapText="1"/>
    </xf>
    <xf numFmtId="0" fontId="33" fillId="9" borderId="13" xfId="0" applyFont="1" applyFill="1" applyBorder="1" applyAlignment="1">
      <alignment horizontal="center" vertical="center" wrapText="1"/>
    </xf>
    <xf numFmtId="0" fontId="33" fillId="11" borderId="13"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10" borderId="18" xfId="0" applyFont="1" applyFill="1" applyBorder="1" applyAlignment="1">
      <alignment horizontal="center" vertical="center" wrapText="1"/>
    </xf>
    <xf numFmtId="0" fontId="33" fillId="11" borderId="18" xfId="0" applyFont="1" applyFill="1" applyBorder="1" applyAlignment="1">
      <alignment horizontal="center" vertical="center" wrapText="1"/>
    </xf>
    <xf numFmtId="0" fontId="33" fillId="9" borderId="18"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xf>
    <xf numFmtId="0" fontId="24" fillId="0" borderId="0" xfId="0" applyFont="1" applyAlignment="1">
      <alignment horizontal="center" vertical="center"/>
    </xf>
    <xf numFmtId="0" fontId="3" fillId="0" borderId="0" xfId="0" applyFont="1" applyAlignment="1">
      <alignment/>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xf>
    <xf numFmtId="0" fontId="3" fillId="0" borderId="1" xfId="0" applyFont="1" applyBorder="1" applyAlignment="1">
      <alignment horizontal="left" vertical="center"/>
    </xf>
    <xf numFmtId="0" fontId="3" fillId="0" borderId="29" xfId="0" applyFont="1" applyBorder="1" applyAlignment="1">
      <alignment horizontal="center" vertical="center" wrapText="1"/>
    </xf>
    <xf numFmtId="0" fontId="24" fillId="0" borderId="29" xfId="0" applyFont="1" applyBorder="1" applyAlignment="1">
      <alignment horizontal="center" vertical="center" wrapText="1"/>
    </xf>
    <xf numFmtId="0" fontId="3" fillId="0" borderId="29" xfId="0" applyFont="1" applyBorder="1" applyAlignment="1">
      <alignment horizontal="center" wrapText="1"/>
    </xf>
    <xf numFmtId="0" fontId="3" fillId="0" borderId="41" xfId="0" applyFont="1" applyBorder="1" applyAlignment="1">
      <alignment horizontal="center" wrapText="1"/>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21" fillId="0" borderId="6" xfId="0" applyNumberFormat="1" applyFont="1" applyBorder="1" applyAlignment="1">
      <alignment horizontal="center" vertical="center" wrapText="1"/>
    </xf>
    <xf numFmtId="0" fontId="21" fillId="0" borderId="21" xfId="0" applyNumberFormat="1" applyFont="1" applyBorder="1" applyAlignment="1">
      <alignment horizontal="center" vertical="center" wrapText="1"/>
    </xf>
    <xf numFmtId="0" fontId="0" fillId="2" borderId="34" xfId="0" applyFont="1" applyFill="1" applyBorder="1" applyAlignment="1">
      <alignment horizontal="left" vertical="center"/>
    </xf>
    <xf numFmtId="0" fontId="27" fillId="2" borderId="35" xfId="0" applyFont="1" applyFill="1" applyBorder="1" applyAlignment="1">
      <alignment horizontal="center" vertical="center"/>
    </xf>
    <xf numFmtId="0" fontId="27" fillId="2" borderId="10" xfId="0" applyFont="1" applyFill="1" applyBorder="1" applyAlignment="1">
      <alignment horizontal="center" vertical="center"/>
    </xf>
    <xf numFmtId="0" fontId="2" fillId="2" borderId="38" xfId="0" applyFont="1" applyFill="1" applyBorder="1" applyAlignment="1">
      <alignment horizontal="center" vertical="center"/>
    </xf>
    <xf numFmtId="0" fontId="3" fillId="5" borderId="13" xfId="0" applyFont="1" applyFill="1" applyBorder="1" applyAlignment="1">
      <alignment horizontal="center" vertical="center" wrapText="1"/>
    </xf>
    <xf numFmtId="0" fontId="3" fillId="5" borderId="13" xfId="0" applyNumberFormat="1" applyFont="1" applyFill="1" applyBorder="1" applyAlignment="1">
      <alignment horizontal="center" vertical="center" wrapText="1"/>
    </xf>
    <xf numFmtId="1" fontId="3" fillId="5" borderId="13" xfId="0" applyNumberFormat="1" applyFont="1" applyFill="1" applyBorder="1" applyAlignment="1">
      <alignment horizontal="center" vertical="center" wrapText="1"/>
    </xf>
    <xf numFmtId="0" fontId="21" fillId="5" borderId="13" xfId="0" applyNumberFormat="1" applyFont="1" applyFill="1" applyBorder="1" applyAlignment="1">
      <alignment horizontal="center" vertical="center" wrapText="1"/>
    </xf>
    <xf numFmtId="172" fontId="21" fillId="5" borderId="13" xfId="0" applyNumberFormat="1" applyFont="1" applyFill="1" applyBorder="1" applyAlignment="1">
      <alignment horizontal="center" vertical="center" wrapText="1"/>
    </xf>
    <xf numFmtId="0" fontId="3" fillId="5" borderId="22" xfId="0" applyFont="1" applyFill="1" applyBorder="1" applyAlignment="1">
      <alignment horizontal="center" vertical="center" wrapText="1"/>
    </xf>
    <xf numFmtId="0" fontId="0" fillId="2" borderId="30" xfId="0" applyFont="1" applyFill="1" applyBorder="1" applyAlignment="1">
      <alignment horizontal="left" vertical="center"/>
    </xf>
    <xf numFmtId="0" fontId="27" fillId="2" borderId="15" xfId="0" applyFont="1" applyFill="1" applyBorder="1" applyAlignment="1">
      <alignment horizontal="center" vertical="center"/>
    </xf>
    <xf numFmtId="0" fontId="2" fillId="2" borderId="30" xfId="0" applyFont="1" applyFill="1" applyBorder="1" applyAlignment="1">
      <alignment horizontal="center" vertical="center"/>
    </xf>
    <xf numFmtId="0" fontId="3" fillId="13" borderId="13" xfId="0" applyFont="1" applyFill="1" applyBorder="1" applyAlignment="1">
      <alignment horizontal="center" vertical="center" wrapText="1"/>
    </xf>
    <xf numFmtId="0" fontId="2" fillId="2" borderId="30" xfId="0" applyFont="1" applyFill="1" applyBorder="1" applyAlignment="1" quotePrefix="1">
      <alignment horizontal="center" vertical="center"/>
    </xf>
    <xf numFmtId="2" fontId="3" fillId="3" borderId="13" xfId="0" applyNumberFormat="1" applyFont="1" applyFill="1" applyBorder="1" applyAlignment="1">
      <alignment horizontal="center" vertical="center" wrapText="1"/>
    </xf>
    <xf numFmtId="172" fontId="3" fillId="3" borderId="13" xfId="0" applyNumberFormat="1" applyFont="1" applyFill="1" applyBorder="1" applyAlignment="1">
      <alignment horizontal="center" vertical="center" wrapText="1"/>
    </xf>
    <xf numFmtId="0" fontId="3" fillId="3" borderId="13" xfId="0" applyFont="1" applyFill="1" applyBorder="1" applyAlignment="1">
      <alignment horizontal="center" vertical="center" wrapText="1"/>
    </xf>
    <xf numFmtId="172" fontId="21" fillId="3" borderId="13" xfId="0" applyNumberFormat="1" applyFont="1" applyFill="1" applyBorder="1" applyAlignment="1">
      <alignment horizontal="center" vertical="center" wrapText="1"/>
    </xf>
    <xf numFmtId="0" fontId="21" fillId="3" borderId="13" xfId="0" applyNumberFormat="1"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3" xfId="0" applyNumberFormat="1" applyFont="1" applyFill="1" applyBorder="1" applyAlignment="1">
      <alignment horizontal="center" vertical="center" wrapText="1"/>
    </xf>
    <xf numFmtId="2" fontId="53" fillId="3" borderId="13" xfId="0" applyNumberFormat="1" applyFont="1" applyFill="1" applyBorder="1" applyAlignment="1">
      <alignment horizontal="center" vertical="center" wrapText="1"/>
    </xf>
    <xf numFmtId="0" fontId="33" fillId="2" borderId="11" xfId="0" applyFont="1" applyFill="1" applyBorder="1" applyAlignment="1">
      <alignment vertical="center"/>
    </xf>
    <xf numFmtId="0" fontId="3" fillId="3" borderId="13" xfId="0" applyFont="1" applyFill="1" applyBorder="1" applyAlignment="1" quotePrefix="1">
      <alignment horizontal="center" vertical="center" wrapText="1"/>
    </xf>
    <xf numFmtId="0" fontId="12" fillId="14" borderId="12" xfId="0" applyFont="1" applyFill="1" applyBorder="1" applyAlignment="1">
      <alignment horizontal="center" vertical="center" wrapText="1"/>
    </xf>
    <xf numFmtId="0" fontId="12" fillId="14" borderId="13" xfId="0" applyFont="1" applyFill="1" applyBorder="1" applyAlignment="1">
      <alignment horizontal="left" vertical="center" wrapText="1"/>
    </xf>
    <xf numFmtId="2" fontId="3" fillId="14" borderId="13" xfId="0" applyNumberFormat="1" applyFont="1" applyFill="1" applyBorder="1" applyAlignment="1">
      <alignment horizontal="center" vertical="center" wrapText="1"/>
    </xf>
    <xf numFmtId="0" fontId="3" fillId="14" borderId="13" xfId="0" applyFont="1" applyFill="1" applyBorder="1" applyAlignment="1">
      <alignment horizontal="center" vertical="center" wrapText="1"/>
    </xf>
    <xf numFmtId="0" fontId="3" fillId="14" borderId="13" xfId="0" applyFont="1" applyFill="1" applyBorder="1" applyAlignment="1" quotePrefix="1">
      <alignment horizontal="center" vertical="center" wrapText="1"/>
    </xf>
    <xf numFmtId="0" fontId="21" fillId="14" borderId="13" xfId="0" applyNumberFormat="1" applyFont="1" applyFill="1" applyBorder="1" applyAlignment="1">
      <alignment horizontal="center" vertical="center" wrapText="1"/>
    </xf>
    <xf numFmtId="172" fontId="3" fillId="14" borderId="13" xfId="0" applyNumberFormat="1" applyFont="1" applyFill="1" applyBorder="1" applyAlignment="1">
      <alignment horizontal="center" vertical="center" wrapText="1"/>
    </xf>
    <xf numFmtId="0" fontId="3" fillId="14" borderId="13" xfId="0" applyNumberFormat="1" applyFont="1" applyFill="1" applyBorder="1" applyAlignment="1">
      <alignment horizontal="center" vertical="center" wrapText="1"/>
    </xf>
    <xf numFmtId="0" fontId="3" fillId="14" borderId="22" xfId="0" applyFont="1" applyFill="1" applyBorder="1" applyAlignment="1">
      <alignment horizontal="center" vertical="center" wrapText="1"/>
    </xf>
    <xf numFmtId="172" fontId="21" fillId="14" borderId="13" xfId="0" applyNumberFormat="1" applyFont="1" applyFill="1" applyBorder="1" applyAlignment="1">
      <alignment horizontal="center" vertical="center" wrapText="1"/>
    </xf>
    <xf numFmtId="2" fontId="53" fillId="14" borderId="13" xfId="0" applyNumberFormat="1" applyFont="1" applyFill="1" applyBorder="1" applyAlignment="1">
      <alignment horizontal="center" vertical="center" wrapText="1"/>
    </xf>
    <xf numFmtId="2" fontId="21" fillId="14" borderId="13" xfId="0" applyNumberFormat="1" applyFont="1" applyFill="1" applyBorder="1" applyAlignment="1">
      <alignment horizontal="center" vertical="center" wrapText="1"/>
    </xf>
    <xf numFmtId="0" fontId="54" fillId="0" borderId="0" xfId="0" applyFont="1" applyAlignment="1">
      <alignment/>
    </xf>
    <xf numFmtId="2" fontId="3" fillId="4" borderId="13"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3" xfId="0" applyNumberFormat="1" applyFont="1" applyFill="1" applyBorder="1" applyAlignment="1">
      <alignment horizontal="center" vertical="center" wrapText="1"/>
    </xf>
    <xf numFmtId="172" fontId="3" fillId="4" borderId="13" xfId="0" applyNumberFormat="1" applyFont="1" applyFill="1" applyBorder="1" applyAlignment="1">
      <alignment horizontal="center" vertical="center" wrapText="1"/>
    </xf>
    <xf numFmtId="0" fontId="21" fillId="4" borderId="13" xfId="0" applyNumberFormat="1" applyFont="1" applyFill="1" applyBorder="1" applyAlignment="1">
      <alignment horizontal="center" vertical="center" wrapText="1"/>
    </xf>
    <xf numFmtId="0" fontId="3" fillId="4" borderId="22" xfId="0" applyFont="1" applyFill="1" applyBorder="1" applyAlignment="1">
      <alignment horizontal="center" vertical="center" wrapText="1"/>
    </xf>
    <xf numFmtId="0" fontId="0" fillId="2" borderId="33" xfId="0" applyFont="1" applyFill="1" applyBorder="1" applyAlignment="1">
      <alignment horizontal="left" vertical="center"/>
    </xf>
    <xf numFmtId="0" fontId="27" fillId="2" borderId="36" xfId="0" applyFont="1" applyFill="1" applyBorder="1" applyAlignment="1">
      <alignment horizontal="center" vertical="center"/>
    </xf>
    <xf numFmtId="0" fontId="27" fillId="2" borderId="32" xfId="0" applyFont="1" applyFill="1" applyBorder="1" applyAlignment="1">
      <alignment horizontal="center" vertical="center"/>
    </xf>
    <xf numFmtId="0" fontId="2" fillId="2" borderId="27" xfId="0" applyFont="1" applyFill="1" applyBorder="1" applyAlignment="1">
      <alignment horizontal="center" vertical="center"/>
    </xf>
    <xf numFmtId="172" fontId="21" fillId="4" borderId="13" xfId="0" applyNumberFormat="1" applyFont="1" applyFill="1" applyBorder="1" applyAlignment="1">
      <alignment horizontal="center" vertical="center" wrapText="1"/>
    </xf>
    <xf numFmtId="0" fontId="0" fillId="15" borderId="38" xfId="0" applyFont="1" applyFill="1" applyBorder="1" applyAlignment="1">
      <alignment horizontal="left" vertical="center"/>
    </xf>
    <xf numFmtId="0" fontId="27" fillId="15" borderId="35" xfId="0" applyFont="1" applyFill="1" applyBorder="1" applyAlignment="1">
      <alignment horizontal="center" vertical="center"/>
    </xf>
    <xf numFmtId="0" fontId="27" fillId="15" borderId="10" xfId="0" applyFont="1" applyFill="1" applyBorder="1" applyAlignment="1">
      <alignment horizontal="center" vertical="center"/>
    </xf>
    <xf numFmtId="0" fontId="2" fillId="15" borderId="34" xfId="0" applyFont="1" applyFill="1" applyBorder="1" applyAlignment="1">
      <alignment horizontal="center" vertical="center"/>
    </xf>
    <xf numFmtId="0" fontId="2" fillId="15" borderId="38" xfId="0" applyFont="1" applyFill="1" applyBorder="1" applyAlignment="1">
      <alignment horizontal="center" vertical="center"/>
    </xf>
    <xf numFmtId="0" fontId="12" fillId="13" borderId="12" xfId="0" applyFont="1" applyFill="1" applyBorder="1" applyAlignment="1">
      <alignment horizontal="center" vertical="center" wrapText="1"/>
    </xf>
    <xf numFmtId="0" fontId="12" fillId="13" borderId="13" xfId="0" applyFont="1" applyFill="1" applyBorder="1" applyAlignment="1">
      <alignment horizontal="left" vertical="center" wrapText="1"/>
    </xf>
    <xf numFmtId="172" fontId="3" fillId="13" borderId="13" xfId="0" applyNumberFormat="1" applyFont="1" applyFill="1" applyBorder="1" applyAlignment="1">
      <alignment horizontal="center" vertical="center" wrapText="1"/>
    </xf>
    <xf numFmtId="2" fontId="21" fillId="13" borderId="13" xfId="0" applyNumberFormat="1" applyFont="1" applyFill="1" applyBorder="1" applyAlignment="1">
      <alignment horizontal="center" wrapText="1"/>
    </xf>
    <xf numFmtId="2" fontId="21" fillId="13" borderId="22" xfId="0" applyNumberFormat="1" applyFont="1" applyFill="1" applyBorder="1" applyAlignment="1">
      <alignment horizontal="center" wrapText="1"/>
    </xf>
    <xf numFmtId="0" fontId="0" fillId="3" borderId="30" xfId="0" applyFont="1" applyFill="1" applyBorder="1" applyAlignment="1">
      <alignment horizontal="left" vertical="center"/>
    </xf>
    <xf numFmtId="0" fontId="27" fillId="3" borderId="11" xfId="0" applyFont="1" applyFill="1" applyBorder="1" applyAlignment="1">
      <alignment horizontal="center" vertical="center"/>
    </xf>
    <xf numFmtId="0" fontId="2" fillId="3" borderId="30" xfId="0" applyFont="1" applyFill="1" applyBorder="1" applyAlignment="1">
      <alignment horizontal="center" vertical="center"/>
    </xf>
    <xf numFmtId="0" fontId="12" fillId="13" borderId="17" xfId="0" applyFont="1" applyFill="1" applyBorder="1" applyAlignment="1">
      <alignment horizontal="center" vertical="center" wrapText="1"/>
    </xf>
    <xf numFmtId="0" fontId="12" fillId="13" borderId="18" xfId="0" applyFont="1" applyFill="1" applyBorder="1" applyAlignment="1">
      <alignment horizontal="left" vertical="center" wrapText="1"/>
    </xf>
    <xf numFmtId="0" fontId="3" fillId="13" borderId="18" xfId="0" applyFont="1" applyFill="1" applyBorder="1" applyAlignment="1">
      <alignment horizontal="center" vertical="center" wrapText="1"/>
    </xf>
    <xf numFmtId="172" fontId="21" fillId="13" borderId="18" xfId="0" applyNumberFormat="1" applyFont="1" applyFill="1" applyBorder="1" applyAlignment="1">
      <alignment horizontal="center" vertical="center" wrapText="1"/>
    </xf>
    <xf numFmtId="2" fontId="5" fillId="13" borderId="18" xfId="0" applyNumberFormat="1" applyFont="1" applyFill="1" applyBorder="1" applyAlignment="1">
      <alignment horizontal="center" wrapText="1"/>
    </xf>
    <xf numFmtId="2" fontId="5" fillId="13" borderId="23" xfId="0" applyNumberFormat="1" applyFont="1" applyFill="1" applyBorder="1" applyAlignment="1">
      <alignment horizontal="center" wrapText="1"/>
    </xf>
    <xf numFmtId="0" fontId="0" fillId="7" borderId="30" xfId="0" applyFont="1" applyFill="1" applyBorder="1" applyAlignment="1">
      <alignment horizontal="left" vertical="center"/>
    </xf>
    <xf numFmtId="0" fontId="27" fillId="7" borderId="11" xfId="0" applyFont="1" applyFill="1" applyBorder="1" applyAlignment="1">
      <alignment horizontal="center" vertical="center"/>
    </xf>
    <xf numFmtId="0" fontId="2" fillId="7" borderId="30" xfId="0" applyFont="1" applyFill="1" applyBorder="1" applyAlignment="1">
      <alignment horizontal="center" vertical="center"/>
    </xf>
    <xf numFmtId="0" fontId="12" fillId="6" borderId="2" xfId="0" applyFont="1" applyFill="1" applyBorder="1" applyAlignment="1">
      <alignment vertical="center"/>
    </xf>
    <xf numFmtId="0" fontId="12" fillId="6" borderId="4" xfId="0" applyFont="1" applyFill="1" applyBorder="1" applyAlignment="1">
      <alignment vertical="center"/>
    </xf>
    <xf numFmtId="0" fontId="12" fillId="6" borderId="42" xfId="0" applyFont="1" applyFill="1" applyBorder="1" applyAlignment="1">
      <alignment vertical="center"/>
    </xf>
    <xf numFmtId="0" fontId="0" fillId="14" borderId="30" xfId="0" applyFont="1" applyFill="1" applyBorder="1" applyAlignment="1">
      <alignment horizontal="left" vertical="center"/>
    </xf>
    <xf numFmtId="0" fontId="27" fillId="14" borderId="11" xfId="0" applyFont="1" applyFill="1" applyBorder="1" applyAlignment="1">
      <alignment horizontal="center" vertical="center"/>
    </xf>
    <xf numFmtId="0" fontId="27" fillId="14" borderId="15" xfId="0" applyFont="1" applyFill="1" applyBorder="1" applyAlignment="1">
      <alignment horizontal="center" vertical="center"/>
    </xf>
    <xf numFmtId="0" fontId="2" fillId="14" borderId="30" xfId="0" applyFont="1" applyFill="1" applyBorder="1" applyAlignment="1">
      <alignment horizontal="center" vertical="center"/>
    </xf>
    <xf numFmtId="0" fontId="12" fillId="6" borderId="20" xfId="0" applyFont="1" applyFill="1" applyBorder="1" applyAlignment="1">
      <alignment horizontal="center" vertical="center" wrapText="1"/>
    </xf>
    <xf numFmtId="0" fontId="3" fillId="6" borderId="6" xfId="0" applyFont="1" applyFill="1" applyBorder="1" applyAlignment="1">
      <alignment horizontal="center" vertical="center" wrapText="1"/>
    </xf>
    <xf numFmtId="172" fontId="21" fillId="6" borderId="6" xfId="0" applyNumberFormat="1" applyFont="1" applyFill="1" applyBorder="1" applyAlignment="1">
      <alignment horizontal="center" vertical="center" wrapText="1"/>
    </xf>
    <xf numFmtId="0" fontId="3" fillId="6" borderId="2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21" fillId="6" borderId="13" xfId="0" applyNumberFormat="1" applyFont="1" applyFill="1" applyBorder="1" applyAlignment="1">
      <alignment horizontal="center" vertical="center" wrapText="1"/>
    </xf>
    <xf numFmtId="0" fontId="3" fillId="6" borderId="22" xfId="0" applyFont="1" applyFill="1" applyBorder="1" applyAlignment="1">
      <alignment horizontal="center" vertical="center" wrapText="1"/>
    </xf>
    <xf numFmtId="172" fontId="12" fillId="6" borderId="12" xfId="0" applyNumberFormat="1" applyFont="1" applyFill="1" applyBorder="1" applyAlignment="1">
      <alignment horizontal="center" vertical="center" wrapText="1"/>
    </xf>
    <xf numFmtId="172" fontId="21" fillId="6" borderId="22" xfId="0" applyNumberFormat="1" applyFont="1" applyFill="1" applyBorder="1" applyAlignment="1">
      <alignment horizontal="center" vertical="center" wrapText="1"/>
    </xf>
    <xf numFmtId="0" fontId="0" fillId="4" borderId="30" xfId="0" applyFont="1" applyFill="1" applyBorder="1" applyAlignment="1">
      <alignment horizontal="left" vertical="center"/>
    </xf>
    <xf numFmtId="0" fontId="27" fillId="4" borderId="11" xfId="0" applyFont="1" applyFill="1" applyBorder="1" applyAlignment="1">
      <alignment horizontal="center" vertical="center"/>
    </xf>
    <xf numFmtId="172" fontId="21" fillId="6" borderId="13" xfId="0" applyNumberFormat="1" applyFont="1" applyFill="1" applyBorder="1" applyAlignment="1">
      <alignment horizontal="center" vertical="center" wrapText="1"/>
    </xf>
    <xf numFmtId="0" fontId="5" fillId="13" borderId="30" xfId="0" applyFont="1" applyFill="1" applyBorder="1" applyAlignment="1">
      <alignment horizontal="left" vertical="center"/>
    </xf>
    <xf numFmtId="0" fontId="21" fillId="13" borderId="39" xfId="0" applyFont="1" applyFill="1" applyBorder="1" applyAlignment="1">
      <alignment horizontal="center" vertical="center" wrapText="1"/>
    </xf>
    <xf numFmtId="0" fontId="21" fillId="13" borderId="15" xfId="0" applyFont="1" applyFill="1" applyBorder="1" applyAlignment="1">
      <alignment horizontal="center" vertical="center" wrapText="1"/>
    </xf>
    <xf numFmtId="0" fontId="37" fillId="13" borderId="30" xfId="0" applyFont="1" applyFill="1" applyBorder="1" applyAlignment="1">
      <alignment horizontal="center" vertical="center"/>
    </xf>
    <xf numFmtId="2" fontId="2" fillId="13" borderId="30" xfId="0" applyNumberFormat="1" applyFont="1" applyFill="1" applyBorder="1" applyAlignment="1">
      <alignment horizontal="center" vertical="center"/>
    </xf>
    <xf numFmtId="0" fontId="12" fillId="6" borderId="17"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21" fillId="6" borderId="18" xfId="0" applyNumberFormat="1"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30" xfId="0" applyFont="1" applyFill="1" applyBorder="1" applyAlignment="1">
      <alignment horizontal="left" vertical="center"/>
    </xf>
    <xf numFmtId="0" fontId="37" fillId="6" borderId="30" xfId="0" applyFont="1" applyFill="1" applyBorder="1" applyAlignment="1">
      <alignment horizontal="center" vertical="center"/>
    </xf>
    <xf numFmtId="172" fontId="5" fillId="6" borderId="34" xfId="0" applyNumberFormat="1" applyFont="1" applyFill="1" applyBorder="1" applyAlignment="1">
      <alignment horizontal="center" vertical="center"/>
    </xf>
    <xf numFmtId="172" fontId="5" fillId="6" borderId="30" xfId="0" applyNumberFormat="1" applyFont="1" applyFill="1" applyBorder="1" applyAlignment="1">
      <alignment horizontal="center" vertical="center"/>
    </xf>
    <xf numFmtId="0" fontId="12" fillId="0" borderId="0" xfId="0" applyFont="1" applyFill="1" applyBorder="1" applyAlignment="1">
      <alignment vertical="center"/>
    </xf>
    <xf numFmtId="0" fontId="3" fillId="5" borderId="13" xfId="0" applyNumberFormat="1" applyFont="1" applyFill="1" applyBorder="1" applyAlignment="1" quotePrefix="1">
      <alignment horizontal="center" vertical="center" wrapText="1"/>
    </xf>
    <xf numFmtId="1" fontId="3" fillId="5" borderId="13" xfId="0" applyNumberFormat="1" applyFont="1" applyFill="1" applyBorder="1" applyAlignment="1" quotePrefix="1">
      <alignment horizontal="center" vertical="center" wrapText="1"/>
    </xf>
    <xf numFmtId="0" fontId="3" fillId="0" borderId="0" xfId="0" applyFont="1" applyFill="1" applyBorder="1" applyAlignment="1">
      <alignment vertical="center" wrapText="1"/>
    </xf>
    <xf numFmtId="0" fontId="0" fillId="8" borderId="30" xfId="0" applyFont="1" applyFill="1" applyBorder="1" applyAlignment="1">
      <alignment horizontal="left" vertical="center"/>
    </xf>
    <xf numFmtId="0" fontId="27" fillId="8" borderId="39" xfId="0" applyFont="1" applyFill="1" applyBorder="1" applyAlignment="1">
      <alignment horizontal="center" vertical="center"/>
    </xf>
    <xf numFmtId="0" fontId="2" fillId="8" borderId="30" xfId="0" applyFont="1" applyFill="1" applyBorder="1" applyAlignment="1">
      <alignment horizontal="center" vertical="center"/>
    </xf>
    <xf numFmtId="0" fontId="2" fillId="8" borderId="34" xfId="0" applyFont="1" applyFill="1" applyBorder="1" applyAlignment="1">
      <alignment horizontal="center" vertical="center"/>
    </xf>
    <xf numFmtId="2" fontId="3" fillId="3" borderId="13" xfId="0" applyNumberFormat="1" applyFont="1" applyFill="1" applyBorder="1" applyAlignment="1" quotePrefix="1">
      <alignment horizontal="center" vertical="center" wrapText="1"/>
    </xf>
    <xf numFmtId="2" fontId="57" fillId="3" borderId="13" xfId="0" applyNumberFormat="1" applyFont="1" applyFill="1" applyBorder="1" applyAlignment="1">
      <alignment horizontal="center" vertical="center" wrapText="1"/>
    </xf>
    <xf numFmtId="0" fontId="0" fillId="16" borderId="30" xfId="0" applyFont="1" applyFill="1" applyBorder="1" applyAlignment="1">
      <alignment horizontal="left" vertical="center"/>
    </xf>
    <xf numFmtId="0" fontId="27" fillId="16" borderId="39" xfId="0" applyFont="1" applyFill="1" applyBorder="1" applyAlignment="1">
      <alignment horizontal="center" vertical="center"/>
    </xf>
    <xf numFmtId="0" fontId="27" fillId="16" borderId="15" xfId="0" applyFont="1" applyFill="1" applyBorder="1" applyAlignment="1">
      <alignment horizontal="center" vertical="center"/>
    </xf>
    <xf numFmtId="0" fontId="2" fillId="16" borderId="30" xfId="0" applyFont="1" applyFill="1" applyBorder="1" applyAlignment="1">
      <alignment horizontal="center" vertical="center"/>
    </xf>
    <xf numFmtId="172" fontId="3" fillId="14" borderId="13" xfId="0" applyNumberFormat="1" applyFont="1" applyFill="1" applyBorder="1" applyAlignment="1" quotePrefix="1">
      <alignment horizontal="center" vertical="center" wrapText="1"/>
    </xf>
    <xf numFmtId="2" fontId="3" fillId="14" borderId="13" xfId="0" applyNumberFormat="1" applyFont="1" applyFill="1" applyBorder="1" applyAlignment="1" quotePrefix="1">
      <alignment horizontal="center" vertical="center" wrapText="1"/>
    </xf>
    <xf numFmtId="0" fontId="3" fillId="14" borderId="13" xfId="0" applyNumberFormat="1" applyFont="1" applyFill="1" applyBorder="1" applyAlignment="1" quotePrefix="1">
      <alignment horizontal="center" vertical="center" wrapText="1"/>
    </xf>
    <xf numFmtId="0" fontId="2" fillId="16" borderId="33" xfId="0" applyFont="1" applyFill="1" applyBorder="1" applyAlignment="1">
      <alignment horizontal="center" vertical="center"/>
    </xf>
    <xf numFmtId="172" fontId="2" fillId="16" borderId="30" xfId="0" applyNumberFormat="1" applyFont="1" applyFill="1" applyBorder="1" applyAlignment="1">
      <alignment horizontal="center" vertical="center"/>
    </xf>
    <xf numFmtId="0" fontId="0" fillId="17" borderId="30" xfId="0" applyFont="1" applyFill="1" applyBorder="1" applyAlignment="1">
      <alignment horizontal="left" vertical="center"/>
    </xf>
    <xf numFmtId="0" fontId="27" fillId="17" borderId="39" xfId="0" applyFont="1" applyFill="1" applyBorder="1" applyAlignment="1">
      <alignment horizontal="center" vertical="center"/>
    </xf>
    <xf numFmtId="0" fontId="27" fillId="17" borderId="15" xfId="0" applyFont="1" applyFill="1" applyBorder="1" applyAlignment="1">
      <alignment horizontal="center" vertical="center"/>
    </xf>
    <xf numFmtId="0" fontId="2" fillId="17" borderId="30" xfId="0" applyFont="1" applyFill="1" applyBorder="1" applyAlignment="1">
      <alignment horizontal="center" vertical="center"/>
    </xf>
    <xf numFmtId="0" fontId="3" fillId="4" borderId="13" xfId="0" applyNumberFormat="1" applyFont="1" applyFill="1" applyBorder="1" applyAlignment="1" quotePrefix="1">
      <alignment horizontal="center" vertical="center" wrapText="1"/>
    </xf>
    <xf numFmtId="0" fontId="0" fillId="17" borderId="27" xfId="0" applyFont="1" applyFill="1" applyBorder="1" applyAlignment="1">
      <alignment horizontal="left" vertical="center"/>
    </xf>
    <xf numFmtId="0" fontId="27" fillId="17" borderId="32" xfId="0" applyFont="1" applyFill="1" applyBorder="1" applyAlignment="1">
      <alignment horizontal="center" vertical="center"/>
    </xf>
    <xf numFmtId="0" fontId="2" fillId="17" borderId="33" xfId="0" applyFont="1" applyFill="1" applyBorder="1" applyAlignment="1">
      <alignment horizontal="center" vertical="center"/>
    </xf>
    <xf numFmtId="0" fontId="2" fillId="17" borderId="27" xfId="0" applyFont="1" applyFill="1" applyBorder="1" applyAlignment="1">
      <alignment horizontal="center" vertical="center"/>
    </xf>
    <xf numFmtId="0" fontId="0" fillId="5" borderId="43" xfId="0" applyFont="1" applyFill="1" applyBorder="1" applyAlignment="1">
      <alignment horizontal="left" vertical="center"/>
    </xf>
    <xf numFmtId="0" fontId="27" fillId="5" borderId="44"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41" xfId="0" applyFont="1" applyFill="1" applyBorder="1" applyAlignment="1">
      <alignment horizontal="center" vertical="center"/>
    </xf>
    <xf numFmtId="0" fontId="0" fillId="5" borderId="13" xfId="0" applyFont="1" applyFill="1" applyBorder="1" applyAlignment="1">
      <alignment vertical="center"/>
    </xf>
    <xf numFmtId="0" fontId="27" fillId="5" borderId="39" xfId="0" applyFont="1" applyFill="1" applyBorder="1" applyAlignment="1">
      <alignment horizontal="center" vertical="center"/>
    </xf>
    <xf numFmtId="0" fontId="2" fillId="5" borderId="33" xfId="0" applyFont="1" applyFill="1" applyBorder="1" applyAlignment="1">
      <alignment horizontal="center" vertical="center"/>
    </xf>
    <xf numFmtId="0" fontId="2" fillId="5" borderId="30" xfId="0" applyFont="1" applyFill="1" applyBorder="1" applyAlignment="1">
      <alignment horizontal="center" vertical="center"/>
    </xf>
    <xf numFmtId="0" fontId="0" fillId="5" borderId="14" xfId="0" applyFont="1" applyFill="1" applyBorder="1" applyAlignment="1">
      <alignment vertical="center"/>
    </xf>
    <xf numFmtId="0" fontId="50" fillId="5" borderId="39" xfId="0" applyFont="1" applyFill="1" applyBorder="1" applyAlignment="1">
      <alignment horizontal="center" vertical="center"/>
    </xf>
    <xf numFmtId="0" fontId="0" fillId="3" borderId="16" xfId="0" applyFont="1" applyFill="1" applyBorder="1" applyAlignment="1">
      <alignment vertical="center"/>
    </xf>
    <xf numFmtId="0" fontId="27" fillId="3" borderId="39" xfId="0" applyFont="1" applyFill="1" applyBorder="1" applyAlignment="1">
      <alignment horizontal="center" vertical="center"/>
    </xf>
    <xf numFmtId="0" fontId="50" fillId="3" borderId="39" xfId="0" applyFont="1" applyFill="1" applyBorder="1" applyAlignment="1">
      <alignment horizontal="center" vertical="center"/>
    </xf>
    <xf numFmtId="0" fontId="0" fillId="3" borderId="45" xfId="0" applyFont="1" applyFill="1" applyBorder="1" applyAlignment="1">
      <alignment vertical="center"/>
    </xf>
    <xf numFmtId="0" fontId="27" fillId="3" borderId="46" xfId="0" applyFont="1" applyFill="1" applyBorder="1" applyAlignment="1">
      <alignment horizontal="center" vertical="center"/>
    </xf>
    <xf numFmtId="0" fontId="2" fillId="3" borderId="33" xfId="0" applyFont="1" applyFill="1" applyBorder="1" applyAlignment="1">
      <alignment horizontal="center" vertical="center"/>
    </xf>
    <xf numFmtId="0" fontId="5" fillId="0" borderId="0" xfId="0" applyFont="1" applyAlignment="1">
      <alignment horizontal="center" vertical="center"/>
    </xf>
    <xf numFmtId="0" fontId="10" fillId="0" borderId="0" xfId="0" applyFont="1" applyFill="1" applyBorder="1" applyAlignment="1">
      <alignment horizontal="center" vertical="center"/>
    </xf>
    <xf numFmtId="172" fontId="5" fillId="0" borderId="0" xfId="0" applyNumberFormat="1" applyFont="1" applyFill="1" applyBorder="1" applyAlignment="1">
      <alignment horizontal="center" vertical="center"/>
    </xf>
    <xf numFmtId="0" fontId="5" fillId="0" borderId="0" xfId="0" applyFont="1" applyAlignment="1">
      <alignment horizontal="center"/>
    </xf>
    <xf numFmtId="0" fontId="5" fillId="0" borderId="0" xfId="0" applyFont="1" applyBorder="1" applyAlignment="1">
      <alignment horizontal="center" vertical="center"/>
    </xf>
    <xf numFmtId="0" fontId="10" fillId="0" borderId="3" xfId="0" applyFont="1" applyFill="1" applyBorder="1" applyAlignment="1">
      <alignment horizontal="center" wrapText="1"/>
    </xf>
    <xf numFmtId="0" fontId="0" fillId="3" borderId="47" xfId="0" applyFont="1" applyFill="1" applyBorder="1" applyAlignment="1">
      <alignment vertical="center"/>
    </xf>
    <xf numFmtId="0" fontId="10" fillId="0" borderId="37" xfId="0" applyFont="1" applyFill="1" applyBorder="1" applyAlignment="1">
      <alignment horizontal="center" wrapText="1"/>
    </xf>
    <xf numFmtId="0" fontId="5" fillId="0" borderId="9" xfId="0" applyFont="1" applyFill="1" applyBorder="1" applyAlignment="1">
      <alignment horizontal="center" wrapText="1"/>
    </xf>
    <xf numFmtId="0" fontId="50" fillId="3" borderId="48" xfId="0" applyFont="1" applyFill="1" applyBorder="1" applyAlignment="1">
      <alignment horizontal="center" vertical="center"/>
    </xf>
    <xf numFmtId="0" fontId="2" fillId="3" borderId="34" xfId="0" applyFont="1" applyFill="1" applyBorder="1" applyAlignment="1">
      <alignment horizontal="center" vertical="center"/>
    </xf>
    <xf numFmtId="0" fontId="10" fillId="0" borderId="39" xfId="0" applyFont="1" applyFill="1" applyBorder="1" applyAlignment="1">
      <alignment horizontal="center" wrapText="1"/>
    </xf>
    <xf numFmtId="0" fontId="5" fillId="0" borderId="15" xfId="0" applyFont="1" applyFill="1" applyBorder="1" applyAlignment="1">
      <alignment horizontal="center" wrapText="1"/>
    </xf>
    <xf numFmtId="172" fontId="5" fillId="0" borderId="15" xfId="0" applyNumberFormat="1" applyFont="1" applyFill="1" applyBorder="1" applyAlignment="1">
      <alignment horizontal="center" wrapText="1"/>
    </xf>
    <xf numFmtId="0" fontId="0" fillId="14" borderId="47" xfId="0" applyFont="1" applyFill="1" applyBorder="1" applyAlignment="1">
      <alignment vertical="center"/>
    </xf>
    <xf numFmtId="0" fontId="27" fillId="14" borderId="48" xfId="0" applyFont="1" applyFill="1" applyBorder="1" applyAlignment="1">
      <alignment horizontal="center" vertical="center"/>
    </xf>
    <xf numFmtId="0" fontId="27" fillId="14" borderId="9" xfId="0" applyFont="1" applyFill="1" applyBorder="1" applyAlignment="1">
      <alignment horizontal="center" vertical="center"/>
    </xf>
    <xf numFmtId="0" fontId="2" fillId="14" borderId="34" xfId="0" applyFont="1" applyFill="1" applyBorder="1" applyAlignment="1">
      <alignment horizontal="center" vertical="center"/>
    </xf>
    <xf numFmtId="0" fontId="0" fillId="14" borderId="16" xfId="0" applyFont="1" applyFill="1" applyBorder="1" applyAlignment="1">
      <alignment vertical="center"/>
    </xf>
    <xf numFmtId="0" fontId="27" fillId="14" borderId="39" xfId="0" applyFont="1" applyFill="1" applyBorder="1" applyAlignment="1">
      <alignment horizontal="center" vertical="center"/>
    </xf>
    <xf numFmtId="0" fontId="7" fillId="0" borderId="15" xfId="0" applyFont="1" applyFill="1" applyBorder="1" applyAlignment="1">
      <alignment horizontal="center" wrapText="1"/>
    </xf>
    <xf numFmtId="0" fontId="50" fillId="14" borderId="39" xfId="0" applyFont="1" applyFill="1" applyBorder="1" applyAlignment="1">
      <alignment horizontal="center" vertical="center"/>
    </xf>
    <xf numFmtId="0" fontId="0" fillId="14" borderId="45" xfId="0" applyFont="1" applyFill="1" applyBorder="1" applyAlignment="1">
      <alignment vertical="center"/>
    </xf>
    <xf numFmtId="0" fontId="27" fillId="14" borderId="46" xfId="0" applyFont="1" applyFill="1" applyBorder="1" applyAlignment="1">
      <alignment horizontal="center" vertical="center"/>
    </xf>
    <xf numFmtId="0" fontId="27" fillId="14" borderId="32" xfId="0" applyFont="1" applyFill="1" applyBorder="1" applyAlignment="1">
      <alignment horizontal="center" vertical="center"/>
    </xf>
    <xf numFmtId="0" fontId="2" fillId="14" borderId="33" xfId="0" applyFont="1" applyFill="1" applyBorder="1" applyAlignment="1">
      <alignment horizontal="center" vertical="center"/>
    </xf>
    <xf numFmtId="0" fontId="50" fillId="14" borderId="48" xfId="0" applyFont="1" applyFill="1" applyBorder="1" applyAlignment="1">
      <alignment horizontal="center" vertical="center"/>
    </xf>
    <xf numFmtId="0" fontId="10" fillId="0" borderId="25" xfId="0" applyFont="1" applyFill="1" applyBorder="1" applyAlignment="1">
      <alignment horizontal="center" wrapText="1"/>
    </xf>
    <xf numFmtId="0" fontId="5" fillId="0" borderId="24" xfId="0" applyFont="1" applyFill="1" applyBorder="1" applyAlignment="1">
      <alignment horizontal="center" wrapText="1"/>
    </xf>
    <xf numFmtId="172" fontId="5" fillId="0" borderId="24" xfId="0" applyNumberFormat="1" applyFont="1" applyFill="1" applyBorder="1" applyAlignment="1">
      <alignment horizontal="center" wrapText="1"/>
    </xf>
    <xf numFmtId="0" fontId="5" fillId="0" borderId="20" xfId="0" applyFont="1" applyFill="1" applyBorder="1" applyAlignment="1">
      <alignment horizontal="center" vertical="center"/>
    </xf>
    <xf numFmtId="0" fontId="5"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0" xfId="0" applyFont="1" applyFill="1" applyBorder="1" applyAlignment="1">
      <alignment horizontal="center" wrapText="1"/>
    </xf>
    <xf numFmtId="0" fontId="10" fillId="0" borderId="12" xfId="0" applyFont="1" applyFill="1" applyBorder="1" applyAlignment="1">
      <alignment horizontal="center" wrapText="1"/>
    </xf>
    <xf numFmtId="0" fontId="5" fillId="0" borderId="13" xfId="0" applyFont="1" applyFill="1" applyBorder="1" applyAlignment="1">
      <alignment horizontal="center" wrapText="1"/>
    </xf>
    <xf numFmtId="1" fontId="5" fillId="0" borderId="13" xfId="0" applyNumberFormat="1" applyFont="1" applyFill="1" applyBorder="1" applyAlignment="1">
      <alignment horizontal="center" wrapText="1"/>
    </xf>
    <xf numFmtId="172" fontId="5" fillId="0" borderId="13" xfId="0" applyNumberFormat="1" applyFont="1" applyFill="1" applyBorder="1" applyAlignment="1">
      <alignment horizontal="center" wrapText="1"/>
    </xf>
    <xf numFmtId="0" fontId="5" fillId="0" borderId="22" xfId="0" applyFont="1" applyFill="1" applyBorder="1" applyAlignment="1">
      <alignment horizontal="center" wrapText="1"/>
    </xf>
    <xf numFmtId="173" fontId="5" fillId="0" borderId="10" xfId="0" applyNumberFormat="1" applyFont="1" applyFill="1" applyBorder="1" applyAlignment="1">
      <alignment horizontal="center"/>
    </xf>
    <xf numFmtId="173" fontId="5" fillId="0" borderId="35" xfId="0" applyNumberFormat="1" applyFont="1" applyFill="1" applyBorder="1" applyAlignment="1">
      <alignment horizontal="center"/>
    </xf>
    <xf numFmtId="173" fontId="5" fillId="0" borderId="10" xfId="0" applyNumberFormat="1" applyFont="1" applyFill="1" applyBorder="1" applyAlignment="1">
      <alignment/>
    </xf>
    <xf numFmtId="173" fontId="5" fillId="0" borderId="15" xfId="0" applyNumberFormat="1" applyFont="1" applyFill="1" applyBorder="1" applyAlignment="1">
      <alignment horizontal="center"/>
    </xf>
    <xf numFmtId="173" fontId="5" fillId="0" borderId="11" xfId="0" applyNumberFormat="1" applyFont="1" applyFill="1" applyBorder="1" applyAlignment="1">
      <alignment horizontal="center"/>
    </xf>
    <xf numFmtId="173" fontId="5" fillId="0" borderId="15" xfId="0" applyNumberFormat="1" applyFont="1" applyFill="1" applyBorder="1" applyAlignment="1">
      <alignment/>
    </xf>
    <xf numFmtId="0" fontId="0" fillId="4" borderId="49" xfId="0" applyFont="1" applyFill="1" applyBorder="1" applyAlignment="1">
      <alignment vertical="center"/>
    </xf>
    <xf numFmtId="0" fontId="27" fillId="4" borderId="48" xfId="0" applyFont="1" applyFill="1" applyBorder="1" applyAlignment="1">
      <alignment horizontal="center" vertical="center"/>
    </xf>
    <xf numFmtId="0" fontId="2" fillId="4" borderId="34" xfId="0" applyFont="1" applyFill="1" applyBorder="1" applyAlignment="1">
      <alignment horizontal="center" vertical="center"/>
    </xf>
    <xf numFmtId="2" fontId="5" fillId="0" borderId="13" xfId="0" applyNumberFormat="1" applyFont="1" applyFill="1" applyBorder="1" applyAlignment="1">
      <alignment horizontal="center" wrapText="1"/>
    </xf>
    <xf numFmtId="0" fontId="27" fillId="4" borderId="39" xfId="0" applyFont="1" applyFill="1" applyBorder="1" applyAlignment="1">
      <alignment horizontal="center" vertical="center"/>
    </xf>
    <xf numFmtId="0" fontId="2" fillId="4" borderId="33" xfId="0" applyFont="1" applyFill="1" applyBorder="1" applyAlignment="1">
      <alignment horizontal="center" vertical="center"/>
    </xf>
    <xf numFmtId="0" fontId="0" fillId="4" borderId="47" xfId="0" applyFont="1" applyFill="1" applyBorder="1" applyAlignment="1">
      <alignment vertical="center"/>
    </xf>
    <xf numFmtId="0" fontId="50" fillId="4" borderId="48" xfId="0" applyFont="1" applyFill="1" applyBorder="1" applyAlignment="1">
      <alignment horizontal="center" vertical="center"/>
    </xf>
    <xf numFmtId="0" fontId="50" fillId="4" borderId="39" xfId="0" applyFont="1" applyFill="1" applyBorder="1" applyAlignment="1">
      <alignment horizontal="center" vertical="center"/>
    </xf>
    <xf numFmtId="0" fontId="0" fillId="13" borderId="13" xfId="0" applyFont="1" applyFill="1" applyBorder="1" applyAlignment="1">
      <alignment/>
    </xf>
    <xf numFmtId="0" fontId="27" fillId="13" borderId="39" xfId="0" applyFont="1" applyFill="1" applyBorder="1" applyAlignment="1">
      <alignment horizontal="center" vertical="center"/>
    </xf>
    <xf numFmtId="0" fontId="27" fillId="13" borderId="15" xfId="0" applyFont="1" applyFill="1" applyBorder="1" applyAlignment="1">
      <alignment horizontal="center" vertical="center"/>
    </xf>
    <xf numFmtId="0" fontId="2" fillId="13" borderId="30" xfId="0" applyFont="1" applyFill="1" applyBorder="1" applyAlignment="1">
      <alignment horizontal="center" vertical="center"/>
    </xf>
    <xf numFmtId="0" fontId="50" fillId="13" borderId="25" xfId="0" applyFont="1" applyFill="1" applyBorder="1" applyAlignment="1">
      <alignment horizontal="center" vertical="center"/>
    </xf>
    <xf numFmtId="0" fontId="27" fillId="13" borderId="24" xfId="0" applyFont="1" applyFill="1" applyBorder="1" applyAlignment="1">
      <alignment horizontal="center" vertical="center"/>
    </xf>
    <xf numFmtId="0" fontId="2" fillId="13" borderId="27" xfId="0" applyFont="1" applyFill="1" applyBorder="1" applyAlignment="1">
      <alignment horizontal="center" vertical="center"/>
    </xf>
    <xf numFmtId="0" fontId="49" fillId="0" borderId="0" xfId="0" applyFont="1" applyBorder="1" applyAlignment="1">
      <alignment vertical="center" textRotation="90"/>
    </xf>
    <xf numFmtId="0" fontId="3" fillId="0" borderId="50" xfId="0" applyFont="1" applyBorder="1" applyAlignment="1">
      <alignment horizontal="left" vertical="center"/>
    </xf>
    <xf numFmtId="2" fontId="5" fillId="0" borderId="22" xfId="0" applyNumberFormat="1" applyFont="1" applyFill="1" applyBorder="1" applyAlignment="1">
      <alignment horizontal="center" wrapText="1"/>
    </xf>
    <xf numFmtId="0" fontId="10" fillId="0" borderId="17" xfId="0" applyFont="1" applyFill="1" applyBorder="1" applyAlignment="1">
      <alignment horizontal="center" wrapText="1"/>
    </xf>
    <xf numFmtId="0" fontId="5" fillId="0" borderId="18" xfId="0" applyFont="1" applyFill="1" applyBorder="1" applyAlignment="1">
      <alignment horizontal="center" wrapText="1"/>
    </xf>
    <xf numFmtId="172" fontId="5" fillId="0" borderId="18" xfId="0" applyNumberFormat="1" applyFont="1" applyFill="1" applyBorder="1" applyAlignment="1">
      <alignment horizontal="center" wrapText="1"/>
    </xf>
    <xf numFmtId="2" fontId="5" fillId="0" borderId="18" xfId="0" applyNumberFormat="1" applyFont="1" applyFill="1" applyBorder="1" applyAlignment="1">
      <alignment horizontal="center" wrapText="1"/>
    </xf>
    <xf numFmtId="2" fontId="5" fillId="0" borderId="23" xfId="0" applyNumberFormat="1" applyFont="1" applyFill="1" applyBorder="1" applyAlignment="1">
      <alignment horizontal="center" wrapText="1"/>
    </xf>
    <xf numFmtId="173" fontId="5" fillId="0" borderId="24" xfId="0" applyNumberFormat="1" applyFont="1" applyFill="1" applyBorder="1" applyAlignment="1">
      <alignment horizontal="center"/>
    </xf>
    <xf numFmtId="173" fontId="5" fillId="0" borderId="36" xfId="0" applyNumberFormat="1" applyFont="1" applyFill="1" applyBorder="1" applyAlignment="1">
      <alignment horizontal="center"/>
    </xf>
    <xf numFmtId="173" fontId="5" fillId="0" borderId="24" xfId="0" applyNumberFormat="1" applyFont="1" applyFill="1" applyBorder="1" applyAlignment="1">
      <alignment/>
    </xf>
    <xf numFmtId="0" fontId="5" fillId="0" borderId="0" xfId="0" applyFont="1" applyAlignment="1">
      <alignment/>
    </xf>
    <xf numFmtId="0" fontId="12" fillId="0" borderId="6" xfId="0" applyFont="1" applyBorder="1" applyAlignment="1">
      <alignment horizontal="center" vertical="center"/>
    </xf>
    <xf numFmtId="0" fontId="12" fillId="0" borderId="6" xfId="0" applyFont="1" applyBorder="1" applyAlignment="1">
      <alignment horizontal="center"/>
    </xf>
    <xf numFmtId="0" fontId="12" fillId="0" borderId="21" xfId="0" applyFont="1" applyBorder="1" applyAlignment="1">
      <alignment horizontal="center"/>
    </xf>
    <xf numFmtId="0" fontId="12" fillId="0" borderId="12" xfId="0" applyFont="1" applyBorder="1" applyAlignment="1">
      <alignment horizontal="center" vertical="center"/>
    </xf>
    <xf numFmtId="0" fontId="3" fillId="11" borderId="13" xfId="0" applyFont="1" applyFill="1" applyBorder="1" applyAlignment="1">
      <alignment horizontal="center" vertical="center"/>
    </xf>
    <xf numFmtId="0" fontId="3" fillId="0" borderId="13" xfId="0" applyFont="1" applyBorder="1" applyAlignment="1">
      <alignment horizontal="center" vertical="center"/>
    </xf>
    <xf numFmtId="0" fontId="3" fillId="0" borderId="13" xfId="0" applyFont="1" applyFill="1" applyBorder="1" applyAlignment="1">
      <alignment horizontal="center" vertical="center"/>
    </xf>
    <xf numFmtId="0" fontId="3" fillId="9" borderId="13" xfId="0" applyFont="1" applyFill="1" applyBorder="1" applyAlignment="1">
      <alignment horizontal="center" vertical="center"/>
    </xf>
    <xf numFmtId="0" fontId="3" fillId="10" borderId="13" xfId="0" applyFont="1" applyFill="1" applyBorder="1" applyAlignment="1">
      <alignment horizontal="center" vertical="center"/>
    </xf>
    <xf numFmtId="0" fontId="3" fillId="10" borderId="13" xfId="0" applyFont="1" applyFill="1" applyBorder="1" applyAlignment="1">
      <alignment horizontal="center"/>
    </xf>
    <xf numFmtId="0" fontId="3" fillId="0" borderId="13" xfId="0" applyFont="1" applyBorder="1" applyAlignment="1">
      <alignment horizontal="center"/>
    </xf>
    <xf numFmtId="0" fontId="3" fillId="0" borderId="22" xfId="0" applyFont="1" applyBorder="1" applyAlignment="1">
      <alignment horizontal="center"/>
    </xf>
    <xf numFmtId="0" fontId="3" fillId="12" borderId="13" xfId="0" applyFont="1" applyFill="1" applyBorder="1" applyAlignment="1">
      <alignment horizontal="center" vertical="center"/>
    </xf>
    <xf numFmtId="0" fontId="3" fillId="9" borderId="13" xfId="0" applyFont="1" applyFill="1" applyBorder="1" applyAlignment="1">
      <alignment horizontal="center"/>
    </xf>
    <xf numFmtId="0" fontId="3" fillId="12" borderId="13" xfId="0" applyFont="1" applyFill="1" applyBorder="1" applyAlignment="1">
      <alignment horizontal="center"/>
    </xf>
    <xf numFmtId="0" fontId="12" fillId="0" borderId="12" xfId="0" applyFont="1" applyFill="1" applyBorder="1" applyAlignment="1">
      <alignment horizontal="center" vertical="center"/>
    </xf>
    <xf numFmtId="0" fontId="12" fillId="9" borderId="13" xfId="0" applyFont="1" applyFill="1" applyBorder="1" applyAlignment="1">
      <alignment horizontal="center" vertical="center"/>
    </xf>
    <xf numFmtId="0" fontId="58" fillId="0" borderId="13" xfId="0" applyFont="1" applyFill="1" applyBorder="1" applyAlignment="1">
      <alignment horizontal="center"/>
    </xf>
    <xf numFmtId="0" fontId="12" fillId="0" borderId="13" xfId="0" applyFont="1" applyFill="1" applyBorder="1" applyAlignment="1">
      <alignment horizontal="center" vertical="center"/>
    </xf>
    <xf numFmtId="0" fontId="3" fillId="2" borderId="13"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8" xfId="0" applyFont="1" applyBorder="1" applyAlignment="1">
      <alignment horizontal="center" vertical="center"/>
    </xf>
    <xf numFmtId="0" fontId="3" fillId="9" borderId="18" xfId="0" applyFont="1" applyFill="1" applyBorder="1" applyAlignment="1">
      <alignment horizontal="center" vertical="center"/>
    </xf>
    <xf numFmtId="0" fontId="3" fillId="0" borderId="18" xfId="0" applyFont="1" applyBorder="1" applyAlignment="1">
      <alignment horizontal="center"/>
    </xf>
    <xf numFmtId="0" fontId="3" fillId="9" borderId="23" xfId="0" applyFont="1" applyFill="1" applyBorder="1" applyAlignment="1">
      <alignment horizontal="center"/>
    </xf>
    <xf numFmtId="0" fontId="0" fillId="0" borderId="0" xfId="21" applyFont="1">
      <alignment/>
      <protection/>
    </xf>
    <xf numFmtId="0" fontId="0" fillId="0" borderId="0" xfId="21" applyFont="1" applyAlignment="1">
      <alignment horizontal="center"/>
      <protection/>
    </xf>
    <xf numFmtId="0" fontId="0" fillId="0" borderId="0" xfId="21" applyFont="1" applyFill="1" applyAlignment="1">
      <alignment horizontal="center"/>
      <protection/>
    </xf>
    <xf numFmtId="0" fontId="0" fillId="0" borderId="0" xfId="21" applyFont="1" applyAlignment="1">
      <alignment vertical="center"/>
      <protection/>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49" fontId="0" fillId="0" borderId="0" xfId="21" applyNumberFormat="1" applyFont="1" applyBorder="1" applyAlignment="1">
      <alignment horizontal="center" vertical="center"/>
      <protection/>
    </xf>
    <xf numFmtId="0" fontId="0" fillId="0" borderId="0" xfId="21" applyFont="1" applyAlignment="1">
      <alignment horizontal="center" vertical="center"/>
      <protection/>
    </xf>
    <xf numFmtId="0" fontId="3" fillId="0" borderId="50" xfId="0" applyFont="1" applyBorder="1" applyAlignment="1">
      <alignment horizontal="center" wrapText="1"/>
    </xf>
    <xf numFmtId="0" fontId="30" fillId="0" borderId="20" xfId="21" applyFont="1" applyBorder="1" applyAlignment="1">
      <alignment horizontal="center" vertical="center"/>
      <protection/>
    </xf>
    <xf numFmtId="0" fontId="30" fillId="0" borderId="6" xfId="21" applyFont="1" applyBorder="1" applyAlignment="1">
      <alignment horizontal="center" vertical="center" wrapText="1"/>
      <protection/>
    </xf>
    <xf numFmtId="0" fontId="27" fillId="0" borderId="51" xfId="21" applyNumberFormat="1" applyFont="1" applyBorder="1" applyAlignment="1">
      <alignment horizontal="center" vertical="center"/>
      <protection/>
    </xf>
    <xf numFmtId="0" fontId="27" fillId="0" borderId="6" xfId="21" applyNumberFormat="1" applyFont="1" applyBorder="1" applyAlignment="1">
      <alignment horizontal="center" vertical="center"/>
      <protection/>
    </xf>
    <xf numFmtId="0" fontId="27" fillId="0" borderId="52" xfId="21" applyNumberFormat="1" applyFont="1" applyBorder="1" applyAlignment="1">
      <alignment horizontal="center" vertical="center"/>
      <protection/>
    </xf>
    <xf numFmtId="0" fontId="3" fillId="2" borderId="37" xfId="0" applyFont="1" applyFill="1" applyBorder="1" applyAlignment="1">
      <alignment horizontal="left" vertical="center"/>
    </xf>
    <xf numFmtId="0" fontId="30" fillId="5" borderId="12" xfId="21" applyFont="1" applyFill="1" applyBorder="1" applyAlignment="1">
      <alignment horizontal="center" vertical="center"/>
      <protection/>
    </xf>
    <xf numFmtId="0" fontId="30" fillId="5" borderId="13" xfId="21" applyFont="1" applyFill="1" applyBorder="1" applyAlignment="1">
      <alignment horizontal="left" vertical="center" wrapText="1"/>
      <protection/>
    </xf>
    <xf numFmtId="0" fontId="19" fillId="5" borderId="13" xfId="21" applyFont="1" applyFill="1" applyBorder="1" applyAlignment="1">
      <alignment horizontal="center" vertical="center" wrapText="1"/>
      <protection/>
    </xf>
    <xf numFmtId="0" fontId="19" fillId="5" borderId="13" xfId="21" applyNumberFormat="1" applyFont="1" applyFill="1" applyBorder="1" applyAlignment="1">
      <alignment horizontal="center" vertical="center" wrapText="1"/>
      <protection/>
    </xf>
    <xf numFmtId="174" fontId="27" fillId="5" borderId="13" xfId="21" applyNumberFormat="1" applyFont="1" applyFill="1" applyBorder="1" applyAlignment="1">
      <alignment horizontal="center" vertical="center" wrapText="1"/>
      <protection/>
    </xf>
    <xf numFmtId="0" fontId="27" fillId="5" borderId="13" xfId="21" applyNumberFormat="1" applyFont="1" applyFill="1" applyBorder="1" applyAlignment="1">
      <alignment horizontal="center" vertical="center" wrapText="1"/>
      <protection/>
    </xf>
    <xf numFmtId="2" fontId="19" fillId="5" borderId="22" xfId="21" applyNumberFormat="1" applyFont="1" applyFill="1" applyBorder="1" applyAlignment="1">
      <alignment horizontal="center" vertical="center" wrapText="1"/>
      <protection/>
    </xf>
    <xf numFmtId="0" fontId="3" fillId="2" borderId="39" xfId="0" applyFont="1" applyFill="1" applyBorder="1" applyAlignment="1">
      <alignment horizontal="left" vertical="center"/>
    </xf>
    <xf numFmtId="49" fontId="30" fillId="3" borderId="12" xfId="21" applyNumberFormat="1" applyFont="1" applyFill="1" applyBorder="1" applyAlignment="1">
      <alignment horizontal="center" vertical="center"/>
      <protection/>
    </xf>
    <xf numFmtId="49" fontId="30" fillId="3" borderId="13" xfId="21" applyNumberFormat="1" applyFont="1" applyFill="1" applyBorder="1" applyAlignment="1">
      <alignment horizontal="left" vertical="center" wrapText="1"/>
      <protection/>
    </xf>
    <xf numFmtId="2" fontId="19" fillId="3" borderId="13" xfId="21" applyNumberFormat="1" applyFont="1" applyFill="1" applyBorder="1" applyAlignment="1">
      <alignment horizontal="center" vertical="center" wrapText="1"/>
      <protection/>
    </xf>
    <xf numFmtId="1" fontId="19" fillId="3" borderId="13" xfId="21" applyNumberFormat="1" applyFont="1" applyFill="1" applyBorder="1" applyAlignment="1">
      <alignment horizontal="center" vertical="center" wrapText="1"/>
      <protection/>
    </xf>
    <xf numFmtId="2" fontId="27" fillId="3" borderId="13" xfId="21" applyNumberFormat="1" applyFont="1" applyFill="1" applyBorder="1" applyAlignment="1">
      <alignment horizontal="center" vertical="center" wrapText="1"/>
      <protection/>
    </xf>
    <xf numFmtId="174" fontId="27" fillId="3" borderId="13" xfId="21" applyNumberFormat="1" applyFont="1" applyFill="1" applyBorder="1" applyAlignment="1">
      <alignment horizontal="center" vertical="center" wrapText="1"/>
      <protection/>
    </xf>
    <xf numFmtId="2" fontId="27" fillId="3" borderId="22" xfId="21" applyNumberFormat="1" applyFont="1" applyFill="1" applyBorder="1" applyAlignment="1">
      <alignment horizontal="center" vertical="center" wrapText="1"/>
      <protection/>
    </xf>
    <xf numFmtId="2" fontId="19" fillId="3" borderId="22" xfId="21" applyNumberFormat="1" applyFont="1" applyFill="1" applyBorder="1" applyAlignment="1">
      <alignment horizontal="center" vertical="center" wrapText="1"/>
      <protection/>
    </xf>
    <xf numFmtId="49" fontId="30" fillId="4" borderId="12" xfId="21" applyNumberFormat="1" applyFont="1" applyFill="1" applyBorder="1" applyAlignment="1">
      <alignment horizontal="center" vertical="center"/>
      <protection/>
    </xf>
    <xf numFmtId="49" fontId="30" fillId="4" borderId="13" xfId="21" applyNumberFormat="1" applyFont="1" applyFill="1" applyBorder="1" applyAlignment="1">
      <alignment horizontal="left" vertical="center" wrapText="1"/>
      <protection/>
    </xf>
    <xf numFmtId="2" fontId="19" fillId="4" borderId="13" xfId="21" applyNumberFormat="1" applyFont="1" applyFill="1" applyBorder="1" applyAlignment="1">
      <alignment horizontal="center" vertical="center" wrapText="1"/>
      <protection/>
    </xf>
    <xf numFmtId="2" fontId="27" fillId="4" borderId="13" xfId="21" applyNumberFormat="1" applyFont="1" applyFill="1" applyBorder="1" applyAlignment="1">
      <alignment horizontal="center" vertical="center" wrapText="1"/>
      <protection/>
    </xf>
    <xf numFmtId="1" fontId="19" fillId="4" borderId="13" xfId="21" applyNumberFormat="1" applyFont="1" applyFill="1" applyBorder="1" applyAlignment="1">
      <alignment horizontal="center" vertical="center" wrapText="1"/>
      <protection/>
    </xf>
    <xf numFmtId="2" fontId="27" fillId="4" borderId="22" xfId="21" applyNumberFormat="1" applyFont="1" applyFill="1" applyBorder="1" applyAlignment="1">
      <alignment horizontal="center" vertical="center" wrapText="1"/>
      <protection/>
    </xf>
    <xf numFmtId="2" fontId="19" fillId="4" borderId="22" xfId="21" applyNumberFormat="1" applyFont="1" applyFill="1" applyBorder="1" applyAlignment="1">
      <alignment horizontal="center" vertical="center" wrapText="1"/>
      <protection/>
    </xf>
    <xf numFmtId="49" fontId="30" fillId="4" borderId="17" xfId="21" applyNumberFormat="1" applyFont="1" applyFill="1" applyBorder="1" applyAlignment="1">
      <alignment horizontal="center" vertical="center"/>
      <protection/>
    </xf>
    <xf numFmtId="2" fontId="19" fillId="4" borderId="18" xfId="21" applyNumberFormat="1" applyFont="1" applyFill="1" applyBorder="1" applyAlignment="1">
      <alignment horizontal="center" vertical="center" wrapText="1"/>
      <protection/>
    </xf>
    <xf numFmtId="2" fontId="27" fillId="4" borderId="18" xfId="21" applyNumberFormat="1" applyFont="1" applyFill="1" applyBorder="1" applyAlignment="1">
      <alignment horizontal="center" vertical="center" wrapText="1"/>
      <protection/>
    </xf>
    <xf numFmtId="1" fontId="19" fillId="4" borderId="18" xfId="21" applyNumberFormat="1" applyFont="1" applyFill="1" applyBorder="1" applyAlignment="1">
      <alignment horizontal="center" vertical="center" wrapText="1"/>
      <protection/>
    </xf>
    <xf numFmtId="2" fontId="19" fillId="4" borderId="23" xfId="21" applyNumberFormat="1" applyFont="1" applyFill="1" applyBorder="1" applyAlignment="1">
      <alignment horizontal="center" vertical="center" wrapText="1"/>
      <protection/>
    </xf>
    <xf numFmtId="0" fontId="3" fillId="2" borderId="25" xfId="0" applyFont="1" applyFill="1" applyBorder="1" applyAlignment="1">
      <alignment horizontal="left" vertical="center"/>
    </xf>
    <xf numFmtId="0" fontId="27" fillId="2" borderId="24" xfId="0" applyFont="1" applyFill="1" applyBorder="1" applyAlignment="1">
      <alignment horizontal="center" vertical="center"/>
    </xf>
    <xf numFmtId="0" fontId="2" fillId="2" borderId="33" xfId="0" applyFont="1" applyFill="1" applyBorder="1" applyAlignment="1">
      <alignment horizontal="center" vertical="center"/>
    </xf>
    <xf numFmtId="0" fontId="33" fillId="0" borderId="0" xfId="21" applyFont="1" applyAlignment="1">
      <alignment horizontal="center" vertical="center"/>
      <protection/>
    </xf>
    <xf numFmtId="0" fontId="0" fillId="15" borderId="49" xfId="0" applyFont="1" applyFill="1" applyBorder="1" applyAlignment="1">
      <alignment horizontal="left" vertical="center"/>
    </xf>
    <xf numFmtId="0" fontId="27" fillId="15" borderId="9" xfId="0" applyFont="1" applyFill="1" applyBorder="1" applyAlignment="1">
      <alignment horizontal="center" vertical="center"/>
    </xf>
    <xf numFmtId="49" fontId="33" fillId="0" borderId="0" xfId="21" applyNumberFormat="1" applyFont="1" applyBorder="1" applyAlignment="1">
      <alignment horizontal="center" vertical="center"/>
      <protection/>
    </xf>
    <xf numFmtId="0" fontId="30" fillId="6" borderId="37" xfId="21" applyFont="1" applyFill="1" applyBorder="1" applyAlignment="1">
      <alignment horizontal="center" vertical="center"/>
      <protection/>
    </xf>
    <xf numFmtId="1" fontId="19" fillId="6" borderId="6" xfId="21" applyNumberFormat="1" applyFont="1" applyFill="1" applyBorder="1" applyAlignment="1">
      <alignment horizontal="center" vertical="center"/>
      <protection/>
    </xf>
    <xf numFmtId="2" fontId="19" fillId="6" borderId="6" xfId="21" applyNumberFormat="1" applyFont="1" applyFill="1" applyBorder="1" applyAlignment="1">
      <alignment horizontal="center" vertical="center"/>
      <protection/>
    </xf>
    <xf numFmtId="2" fontId="27" fillId="6" borderId="6" xfId="21" applyNumberFormat="1" applyFont="1" applyFill="1" applyBorder="1" applyAlignment="1">
      <alignment horizontal="center" vertical="center"/>
      <protection/>
    </xf>
    <xf numFmtId="2" fontId="19" fillId="6" borderId="21" xfId="21" applyNumberFormat="1" applyFont="1" applyFill="1" applyBorder="1" applyAlignment="1">
      <alignment horizontal="center" vertical="center"/>
      <protection/>
    </xf>
    <xf numFmtId="0" fontId="0" fillId="3" borderId="16" xfId="0" applyFont="1" applyFill="1" applyBorder="1" applyAlignment="1">
      <alignment horizontal="left" vertical="center"/>
    </xf>
    <xf numFmtId="0" fontId="30" fillId="6" borderId="39" xfId="21" applyFont="1" applyFill="1" applyBorder="1" applyAlignment="1">
      <alignment horizontal="center" vertical="center"/>
      <protection/>
    </xf>
    <xf numFmtId="2" fontId="19" fillId="6" borderId="13" xfId="21" applyNumberFormat="1" applyFont="1" applyFill="1" applyBorder="1" applyAlignment="1">
      <alignment horizontal="center" vertical="center"/>
      <protection/>
    </xf>
    <xf numFmtId="2" fontId="27" fillId="6" borderId="13" xfId="21" applyNumberFormat="1" applyFont="1" applyFill="1" applyBorder="1" applyAlignment="1">
      <alignment horizontal="center" vertical="center"/>
      <protection/>
    </xf>
    <xf numFmtId="1" fontId="19" fillId="6" borderId="13" xfId="21" applyNumberFormat="1" applyFont="1" applyFill="1" applyBorder="1" applyAlignment="1">
      <alignment horizontal="center" vertical="center"/>
      <protection/>
    </xf>
    <xf numFmtId="2" fontId="19" fillId="6" borderId="22" xfId="21" applyNumberFormat="1" applyFont="1" applyFill="1" applyBorder="1" applyAlignment="1">
      <alignment horizontal="center" vertical="center"/>
      <protection/>
    </xf>
    <xf numFmtId="0" fontId="30" fillId="6" borderId="25" xfId="21" applyFont="1" applyFill="1" applyBorder="1" applyAlignment="1">
      <alignment horizontal="center" vertical="center"/>
      <protection/>
    </xf>
    <xf numFmtId="2" fontId="19" fillId="6" borderId="18" xfId="21" applyNumberFormat="1" applyFont="1" applyFill="1" applyBorder="1" applyAlignment="1">
      <alignment horizontal="center" vertical="center"/>
      <protection/>
    </xf>
    <xf numFmtId="2" fontId="27" fillId="6" borderId="18" xfId="21" applyNumberFormat="1" applyFont="1" applyFill="1" applyBorder="1" applyAlignment="1">
      <alignment horizontal="center" vertical="center"/>
      <protection/>
    </xf>
    <xf numFmtId="1" fontId="19" fillId="6" borderId="23" xfId="21" applyNumberFormat="1" applyFont="1" applyFill="1" applyBorder="1" applyAlignment="1">
      <alignment horizontal="center" vertical="center"/>
      <protection/>
    </xf>
    <xf numFmtId="0" fontId="0" fillId="7" borderId="16" xfId="0" applyFont="1" applyFill="1" applyBorder="1" applyAlignment="1">
      <alignment horizontal="left" vertical="center"/>
    </xf>
    <xf numFmtId="0" fontId="0" fillId="4" borderId="13" xfId="0" applyFont="1" applyFill="1" applyBorder="1" applyAlignment="1">
      <alignment horizontal="left" vertical="center"/>
    </xf>
    <xf numFmtId="0" fontId="0" fillId="8" borderId="13" xfId="0" applyFont="1" applyFill="1" applyBorder="1" applyAlignment="1">
      <alignment horizontal="left" vertical="center"/>
    </xf>
    <xf numFmtId="49" fontId="0" fillId="0" borderId="0" xfId="21" applyNumberFormat="1" applyFont="1" applyAlignment="1">
      <alignment horizontal="center" vertical="center"/>
      <protection/>
    </xf>
    <xf numFmtId="0" fontId="19" fillId="5" borderId="13" xfId="21" applyNumberFormat="1" applyFont="1" applyFill="1" applyBorder="1" applyAlignment="1" quotePrefix="1">
      <alignment horizontal="center" vertical="center" wrapText="1"/>
      <protection/>
    </xf>
    <xf numFmtId="2" fontId="19" fillId="5" borderId="22" xfId="21" applyNumberFormat="1" applyFont="1" applyFill="1" applyBorder="1" applyAlignment="1" quotePrefix="1">
      <alignment horizontal="center" vertical="center" wrapText="1"/>
      <protection/>
    </xf>
    <xf numFmtId="0" fontId="0" fillId="17" borderId="13" xfId="0" applyFont="1" applyFill="1" applyBorder="1" applyAlignment="1">
      <alignment horizontal="left" vertical="center"/>
    </xf>
    <xf numFmtId="0" fontId="58" fillId="17" borderId="39" xfId="0" applyFont="1" applyFill="1" applyBorder="1" applyAlignment="1">
      <alignment horizontal="left" vertical="center"/>
    </xf>
    <xf numFmtId="0" fontId="23" fillId="17" borderId="15" xfId="0" applyFont="1" applyFill="1" applyBorder="1" applyAlignment="1">
      <alignment horizontal="center" vertical="center"/>
    </xf>
    <xf numFmtId="0" fontId="48" fillId="0" borderId="0" xfId="21" applyFont="1" applyAlignment="1">
      <alignment vertical="center"/>
      <protection/>
    </xf>
    <xf numFmtId="0" fontId="5" fillId="6" borderId="15" xfId="0" applyFont="1" applyFill="1" applyBorder="1" applyAlignment="1">
      <alignment horizontal="left" vertical="center"/>
    </xf>
    <xf numFmtId="0" fontId="27" fillId="6" borderId="9" xfId="0" applyFont="1" applyFill="1" applyBorder="1" applyAlignment="1">
      <alignment horizontal="center" vertical="center"/>
    </xf>
    <xf numFmtId="0" fontId="5" fillId="6" borderId="30" xfId="0" applyFont="1" applyFill="1" applyBorder="1" applyAlignment="1">
      <alignment horizontal="center" vertical="center"/>
    </xf>
    <xf numFmtId="0" fontId="5" fillId="6" borderId="24" xfId="0" applyFont="1" applyFill="1" applyBorder="1" applyAlignment="1">
      <alignment horizontal="left" vertical="center"/>
    </xf>
    <xf numFmtId="0" fontId="37" fillId="6" borderId="27" xfId="0" applyFont="1" applyFill="1" applyBorder="1" applyAlignment="1">
      <alignment horizontal="center" vertical="center"/>
    </xf>
    <xf numFmtId="0" fontId="5" fillId="6" borderId="33" xfId="0" applyFont="1" applyFill="1" applyBorder="1" applyAlignment="1">
      <alignment horizontal="center" vertical="center"/>
    </xf>
    <xf numFmtId="49" fontId="0" fillId="0" borderId="0" xfId="21" applyNumberFormat="1" applyFont="1" applyAlignment="1">
      <alignment vertical="center"/>
      <protection/>
    </xf>
    <xf numFmtId="0" fontId="0" fillId="15" borderId="9" xfId="0" applyFont="1" applyFill="1" applyBorder="1" applyAlignment="1">
      <alignment horizontal="left" vertical="center"/>
    </xf>
    <xf numFmtId="0" fontId="27" fillId="15" borderId="34" xfId="0" applyFont="1" applyFill="1" applyBorder="1" applyAlignment="1">
      <alignment horizontal="center" vertical="center"/>
    </xf>
    <xf numFmtId="0" fontId="27" fillId="15" borderId="15" xfId="0" applyFont="1" applyFill="1" applyBorder="1" applyAlignment="1">
      <alignment horizontal="center" vertical="center"/>
    </xf>
    <xf numFmtId="0" fontId="2" fillId="15" borderId="33" xfId="0" applyFont="1" applyFill="1" applyBorder="1" applyAlignment="1">
      <alignment horizontal="center" vertical="center"/>
    </xf>
    <xf numFmtId="0" fontId="0" fillId="15" borderId="13" xfId="0" applyFont="1" applyFill="1" applyBorder="1" applyAlignment="1">
      <alignment vertical="center"/>
    </xf>
    <xf numFmtId="0" fontId="2" fillId="15" borderId="30" xfId="0" applyFont="1" applyFill="1" applyBorder="1" applyAlignment="1">
      <alignment horizontal="center" vertical="center"/>
    </xf>
    <xf numFmtId="0" fontId="48" fillId="0" borderId="0" xfId="21" applyFont="1" applyFill="1" applyBorder="1" applyAlignment="1">
      <alignment horizontal="center" vertical="center"/>
      <protection/>
    </xf>
    <xf numFmtId="0" fontId="48" fillId="0" borderId="3" xfId="21" applyFont="1" applyBorder="1" applyAlignment="1">
      <alignment horizontal="center" vertical="center"/>
      <protection/>
    </xf>
    <xf numFmtId="49" fontId="0" fillId="0" borderId="0" xfId="21" applyNumberFormat="1" applyFont="1" applyBorder="1" applyAlignment="1">
      <alignment vertical="center"/>
      <protection/>
    </xf>
    <xf numFmtId="0" fontId="48" fillId="0" borderId="37" xfId="21" applyFont="1" applyFill="1" applyBorder="1" applyAlignment="1">
      <alignment horizontal="center" vertical="center"/>
      <protection/>
    </xf>
    <xf numFmtId="1" fontId="0" fillId="0" borderId="9" xfId="21" applyNumberFormat="1" applyFont="1" applyFill="1" applyBorder="1" applyAlignment="1">
      <alignment horizontal="center" vertical="center"/>
      <protection/>
    </xf>
    <xf numFmtId="2" fontId="0" fillId="0" borderId="9" xfId="21" applyNumberFormat="1" applyFont="1" applyFill="1" applyBorder="1" applyAlignment="1">
      <alignment horizontal="center" vertical="center"/>
      <protection/>
    </xf>
    <xf numFmtId="0" fontId="48" fillId="0" borderId="39" xfId="21" applyFont="1" applyFill="1" applyBorder="1" applyAlignment="1">
      <alignment horizontal="center" vertical="center"/>
      <protection/>
    </xf>
    <xf numFmtId="1" fontId="0" fillId="0" borderId="15" xfId="21" applyNumberFormat="1" applyFont="1" applyFill="1" applyBorder="1" applyAlignment="1">
      <alignment horizontal="center" vertical="center"/>
      <protection/>
    </xf>
    <xf numFmtId="2" fontId="0" fillId="0" borderId="15" xfId="21" applyNumberFormat="1" applyFont="1" applyFill="1" applyBorder="1" applyAlignment="1">
      <alignment horizontal="center" vertical="center"/>
      <protection/>
    </xf>
    <xf numFmtId="0" fontId="48" fillId="0" borderId="0" xfId="21" applyFont="1" applyAlignment="1">
      <alignment horizontal="center" vertical="center"/>
      <protection/>
    </xf>
    <xf numFmtId="0" fontId="0" fillId="4" borderId="45" xfId="0" applyFont="1" applyFill="1" applyBorder="1" applyAlignment="1">
      <alignment vertical="center"/>
    </xf>
    <xf numFmtId="0" fontId="27" fillId="4" borderId="32" xfId="0" applyFont="1" applyFill="1" applyBorder="1" applyAlignment="1">
      <alignment horizontal="center" vertical="center"/>
    </xf>
    <xf numFmtId="0" fontId="0" fillId="4" borderId="16" xfId="0" applyFont="1" applyFill="1" applyBorder="1" applyAlignment="1">
      <alignment vertical="center"/>
    </xf>
    <xf numFmtId="0" fontId="0" fillId="4" borderId="28" xfId="0" applyFont="1" applyFill="1" applyBorder="1" applyAlignment="1">
      <alignment vertical="center"/>
    </xf>
    <xf numFmtId="0" fontId="0" fillId="0" borderId="50" xfId="21" applyFont="1" applyBorder="1">
      <alignment/>
      <protection/>
    </xf>
    <xf numFmtId="0" fontId="0" fillId="0" borderId="0" xfId="21" applyFont="1" applyBorder="1">
      <alignment/>
      <protection/>
    </xf>
    <xf numFmtId="0" fontId="48" fillId="0" borderId="25" xfId="21" applyFont="1" applyFill="1" applyBorder="1" applyAlignment="1">
      <alignment horizontal="center" vertical="center"/>
      <protection/>
    </xf>
    <xf numFmtId="2" fontId="0" fillId="0" borderId="24" xfId="21" applyNumberFormat="1" applyFont="1" applyFill="1" applyBorder="1" applyAlignment="1">
      <alignment horizontal="center" vertical="center"/>
      <protection/>
    </xf>
    <xf numFmtId="1" fontId="0" fillId="0" borderId="24" xfId="21" applyNumberFormat="1" applyFont="1" applyFill="1" applyBorder="1" applyAlignment="1">
      <alignment horizontal="center" vertical="center"/>
      <protection/>
    </xf>
    <xf numFmtId="0" fontId="48" fillId="0" borderId="20" xfId="21" applyFont="1" applyFill="1" applyBorder="1" applyAlignment="1">
      <alignment horizontal="center" vertical="center"/>
      <protection/>
    </xf>
    <xf numFmtId="0" fontId="48" fillId="0" borderId="6" xfId="21" applyFont="1" applyFill="1" applyBorder="1" applyAlignment="1">
      <alignment horizontal="center" vertical="center" wrapText="1"/>
      <protection/>
    </xf>
    <xf numFmtId="0" fontId="48" fillId="0" borderId="51" xfId="21" applyFont="1" applyFill="1" applyBorder="1" applyAlignment="1">
      <alignment horizontal="center" vertical="center"/>
      <protection/>
    </xf>
    <xf numFmtId="0" fontId="48" fillId="0" borderId="6" xfId="21" applyFont="1" applyFill="1" applyBorder="1" applyAlignment="1">
      <alignment horizontal="center" vertical="center"/>
      <protection/>
    </xf>
    <xf numFmtId="0" fontId="48" fillId="0" borderId="21" xfId="21" applyFont="1" applyFill="1" applyBorder="1" applyAlignment="1">
      <alignment horizontal="center" vertical="center"/>
      <protection/>
    </xf>
    <xf numFmtId="0" fontId="48" fillId="0" borderId="0" xfId="21" applyFont="1" applyFill="1" applyAlignment="1">
      <alignment horizontal="center" vertical="center"/>
      <protection/>
    </xf>
    <xf numFmtId="0" fontId="0" fillId="0" borderId="0" xfId="21" applyFont="1" applyFill="1" applyAlignment="1">
      <alignment horizontal="center" vertical="center"/>
      <protection/>
    </xf>
    <xf numFmtId="0" fontId="48" fillId="0" borderId="12" xfId="21" applyFont="1" applyFill="1" applyBorder="1" applyAlignment="1">
      <alignment horizontal="center" vertical="center"/>
      <protection/>
    </xf>
    <xf numFmtId="0" fontId="48" fillId="0" borderId="13" xfId="21" applyFont="1" applyFill="1" applyBorder="1" applyAlignment="1">
      <alignment horizontal="center" vertical="center"/>
      <protection/>
    </xf>
    <xf numFmtId="0" fontId="0" fillId="0" borderId="13" xfId="21" applyFont="1" applyFill="1" applyBorder="1" applyAlignment="1">
      <alignment horizontal="center" vertical="center"/>
      <protection/>
    </xf>
    <xf numFmtId="174" fontId="0" fillId="0" borderId="13" xfId="21" applyNumberFormat="1" applyFont="1" applyFill="1" applyBorder="1" applyAlignment="1">
      <alignment horizontal="center" vertical="center"/>
      <protection/>
    </xf>
    <xf numFmtId="2" fontId="0" fillId="0" borderId="22" xfId="21" applyNumberFormat="1" applyFont="1" applyFill="1" applyBorder="1" applyAlignment="1">
      <alignment horizontal="center" vertical="center"/>
      <protection/>
    </xf>
    <xf numFmtId="175" fontId="0" fillId="0" borderId="20" xfId="21" applyNumberFormat="1" applyFont="1" applyFill="1" applyBorder="1" applyAlignment="1">
      <alignment horizontal="center" vertical="center"/>
      <protection/>
    </xf>
    <xf numFmtId="175" fontId="0" fillId="0" borderId="6" xfId="21" applyNumberFormat="1" applyFont="1" applyFill="1" applyBorder="1" applyAlignment="1">
      <alignment horizontal="center" vertical="center"/>
      <protection/>
    </xf>
    <xf numFmtId="175" fontId="0" fillId="0" borderId="21" xfId="21" applyNumberFormat="1" applyFont="1" applyFill="1" applyBorder="1" applyAlignment="1">
      <alignment horizontal="center" vertical="center"/>
      <protection/>
    </xf>
    <xf numFmtId="49" fontId="48" fillId="0" borderId="12" xfId="21" applyNumberFormat="1" applyFont="1" applyFill="1" applyBorder="1" applyAlignment="1">
      <alignment horizontal="center" vertical="center"/>
      <protection/>
    </xf>
    <xf numFmtId="49" fontId="30" fillId="0" borderId="13" xfId="21" applyNumberFormat="1" applyFont="1" applyFill="1" applyBorder="1" applyAlignment="1">
      <alignment horizontal="center" vertical="center" wrapText="1"/>
      <protection/>
    </xf>
    <xf numFmtId="2" fontId="0" fillId="0" borderId="13" xfId="21" applyNumberFormat="1" applyFont="1" applyFill="1" applyBorder="1" applyAlignment="1">
      <alignment horizontal="center" vertical="center"/>
      <protection/>
    </xf>
    <xf numFmtId="1" fontId="0" fillId="0" borderId="13" xfId="21" applyNumberFormat="1" applyFont="1" applyFill="1" applyBorder="1" applyAlignment="1">
      <alignment horizontal="center" vertical="center"/>
      <protection/>
    </xf>
    <xf numFmtId="49" fontId="0" fillId="0" borderId="0" xfId="21" applyNumberFormat="1" applyFont="1" applyFill="1" applyAlignment="1">
      <alignment horizontal="center" vertical="center"/>
      <protection/>
    </xf>
    <xf numFmtId="175" fontId="0" fillId="0" borderId="12" xfId="21" applyNumberFormat="1" applyFont="1" applyFill="1" applyBorder="1" applyAlignment="1">
      <alignment horizontal="center" vertical="center"/>
      <protection/>
    </xf>
    <xf numFmtId="175" fontId="0" fillId="0" borderId="13" xfId="21" applyNumberFormat="1" applyFont="1" applyFill="1" applyBorder="1" applyAlignment="1">
      <alignment horizontal="center" vertical="center"/>
      <protection/>
    </xf>
    <xf numFmtId="175" fontId="0" fillId="0" borderId="22" xfId="21" applyNumberFormat="1" applyFont="1" applyFill="1" applyBorder="1" applyAlignment="1">
      <alignment horizontal="center" vertical="center"/>
      <protection/>
    </xf>
    <xf numFmtId="49" fontId="48" fillId="0" borderId="17" xfId="21" applyNumberFormat="1" applyFont="1" applyFill="1" applyBorder="1" applyAlignment="1">
      <alignment horizontal="center" vertical="center"/>
      <protection/>
    </xf>
    <xf numFmtId="2" fontId="0" fillId="0" borderId="18" xfId="21" applyNumberFormat="1" applyFont="1" applyFill="1" applyBorder="1" applyAlignment="1">
      <alignment horizontal="center" vertical="center"/>
      <protection/>
    </xf>
    <xf numFmtId="1" fontId="0" fillId="0" borderId="18" xfId="21" applyNumberFormat="1" applyFont="1" applyFill="1" applyBorder="1" applyAlignment="1">
      <alignment horizontal="center" vertical="center"/>
      <protection/>
    </xf>
    <xf numFmtId="2" fontId="0" fillId="0" borderId="23" xfId="21" applyNumberFormat="1" applyFont="1" applyFill="1" applyBorder="1" applyAlignment="1">
      <alignment horizontal="center" vertical="center"/>
      <protection/>
    </xf>
    <xf numFmtId="175" fontId="0" fillId="0" borderId="17" xfId="21" applyNumberFormat="1" applyFont="1" applyFill="1" applyBorder="1" applyAlignment="1">
      <alignment horizontal="center" vertical="center"/>
      <protection/>
    </xf>
    <xf numFmtId="175" fontId="0" fillId="0" borderId="18" xfId="21" applyNumberFormat="1" applyFont="1" applyFill="1" applyBorder="1" applyAlignment="1">
      <alignment horizontal="center" vertical="center"/>
      <protection/>
    </xf>
    <xf numFmtId="175" fontId="0" fillId="0" borderId="23" xfId="21" applyNumberFormat="1" applyFont="1" applyFill="1" applyBorder="1" applyAlignment="1">
      <alignment horizontal="center" vertical="center"/>
      <protection/>
    </xf>
    <xf numFmtId="49" fontId="48" fillId="0" borderId="0" xfId="21" applyNumberFormat="1" applyFont="1" applyBorder="1" applyAlignment="1">
      <alignment horizontal="center" vertical="center"/>
      <protection/>
    </xf>
    <xf numFmtId="0" fontId="0" fillId="0" borderId="20" xfId="21" applyFont="1" applyBorder="1" applyAlignment="1">
      <alignment horizontal="center" vertical="center"/>
      <protection/>
    </xf>
    <xf numFmtId="0" fontId="48" fillId="0" borderId="6" xfId="21" applyFont="1" applyBorder="1" applyAlignment="1">
      <alignment horizontal="center" vertical="center"/>
      <protection/>
    </xf>
    <xf numFmtId="0" fontId="48" fillId="0" borderId="21" xfId="21" applyFont="1" applyBorder="1" applyAlignment="1">
      <alignment horizontal="center" vertical="center"/>
      <protection/>
    </xf>
    <xf numFmtId="0" fontId="0" fillId="0" borderId="12" xfId="21" applyFont="1" applyBorder="1" applyAlignment="1">
      <alignment horizontal="center" vertical="center"/>
      <protection/>
    </xf>
    <xf numFmtId="0" fontId="48" fillId="0" borderId="13" xfId="21" applyFont="1" applyBorder="1" applyAlignment="1">
      <alignment horizontal="center" vertical="center"/>
      <protection/>
    </xf>
    <xf numFmtId="0" fontId="0" fillId="0" borderId="13" xfId="21" applyFont="1" applyBorder="1" applyAlignment="1">
      <alignment horizontal="center" vertical="center"/>
      <protection/>
    </xf>
    <xf numFmtId="0" fontId="0" fillId="9" borderId="13" xfId="21" applyFont="1" applyFill="1" applyBorder="1" applyAlignment="1">
      <alignment horizontal="center" vertical="center"/>
      <protection/>
    </xf>
    <xf numFmtId="0" fontId="0" fillId="10" borderId="13" xfId="21" applyFont="1" applyFill="1" applyBorder="1" applyAlignment="1">
      <alignment horizontal="center" vertical="center"/>
      <protection/>
    </xf>
    <xf numFmtId="0" fontId="0" fillId="0" borderId="22" xfId="21" applyFont="1" applyFill="1" applyBorder="1" applyAlignment="1">
      <alignment horizontal="center" vertical="center"/>
      <protection/>
    </xf>
    <xf numFmtId="0" fontId="48" fillId="0" borderId="12" xfId="21" applyFont="1" applyBorder="1" applyAlignment="1">
      <alignment horizontal="center" vertical="center"/>
      <protection/>
    </xf>
    <xf numFmtId="0" fontId="48" fillId="12" borderId="13" xfId="21" applyFont="1" applyFill="1" applyBorder="1" applyAlignment="1">
      <alignment horizontal="center" vertical="center"/>
      <protection/>
    </xf>
    <xf numFmtId="0" fontId="48" fillId="9" borderId="13" xfId="21" applyFont="1" applyFill="1" applyBorder="1" applyAlignment="1">
      <alignment horizontal="center" vertical="center"/>
      <protection/>
    </xf>
    <xf numFmtId="0" fontId="48" fillId="10" borderId="13" xfId="21" applyFont="1" applyFill="1" applyBorder="1" applyAlignment="1">
      <alignment horizontal="center" vertical="center"/>
      <protection/>
    </xf>
    <xf numFmtId="0" fontId="48" fillId="0" borderId="22" xfId="21" applyFont="1" applyFill="1" applyBorder="1" applyAlignment="1">
      <alignment horizontal="center" vertical="center"/>
      <protection/>
    </xf>
    <xf numFmtId="0" fontId="0" fillId="12" borderId="13" xfId="21" applyFont="1" applyFill="1" applyBorder="1" applyAlignment="1">
      <alignment horizontal="center" vertical="center"/>
      <protection/>
    </xf>
    <xf numFmtId="49" fontId="0" fillId="9" borderId="13" xfId="21" applyNumberFormat="1" applyFont="1" applyFill="1" applyBorder="1" applyAlignment="1">
      <alignment horizontal="center" vertical="center"/>
      <protection/>
    </xf>
    <xf numFmtId="49" fontId="0" fillId="0" borderId="13" xfId="21" applyNumberFormat="1" applyFont="1" applyBorder="1" applyAlignment="1">
      <alignment horizontal="center" vertical="center"/>
      <protection/>
    </xf>
    <xf numFmtId="49" fontId="0" fillId="0" borderId="13" xfId="21" applyNumberFormat="1" applyFont="1" applyFill="1" applyBorder="1" applyAlignment="1">
      <alignment horizontal="center" vertical="center"/>
      <protection/>
    </xf>
    <xf numFmtId="49" fontId="0" fillId="0" borderId="22" xfId="21" applyNumberFormat="1" applyFont="1" applyFill="1" applyBorder="1" applyAlignment="1">
      <alignment horizontal="center" vertical="center"/>
      <protection/>
    </xf>
    <xf numFmtId="0" fontId="0" fillId="12" borderId="13" xfId="21" applyFont="1" applyFill="1" applyBorder="1" applyAlignment="1">
      <alignment horizontal="center"/>
      <protection/>
    </xf>
    <xf numFmtId="0" fontId="0" fillId="0" borderId="13" xfId="21" applyFont="1" applyBorder="1" applyAlignment="1">
      <alignment horizontal="center"/>
      <protection/>
    </xf>
    <xf numFmtId="0" fontId="0" fillId="9" borderId="13" xfId="21" applyFont="1" applyFill="1" applyBorder="1" applyAlignment="1">
      <alignment horizontal="center"/>
      <protection/>
    </xf>
    <xf numFmtId="0" fontId="0" fillId="0" borderId="13" xfId="21" applyFont="1" applyFill="1" applyBorder="1" applyAlignment="1">
      <alignment horizontal="center"/>
      <protection/>
    </xf>
    <xf numFmtId="0" fontId="0" fillId="0" borderId="22" xfId="21" applyFont="1" applyFill="1" applyBorder="1" applyAlignment="1">
      <alignment horizontal="center"/>
      <protection/>
    </xf>
    <xf numFmtId="0" fontId="0" fillId="10" borderId="13" xfId="21" applyFont="1" applyFill="1" applyBorder="1" applyAlignment="1">
      <alignment horizontal="center"/>
      <protection/>
    </xf>
    <xf numFmtId="0" fontId="0" fillId="0" borderId="0" xfId="21" applyFont="1" applyFill="1" applyBorder="1" applyAlignment="1">
      <alignment horizontal="center"/>
      <protection/>
    </xf>
    <xf numFmtId="49" fontId="0" fillId="0" borderId="0" xfId="21" applyNumberFormat="1" applyFont="1" applyFill="1" applyBorder="1" applyAlignment="1">
      <alignment horizontal="center" vertical="center"/>
      <protection/>
    </xf>
    <xf numFmtId="0" fontId="0" fillId="0" borderId="17" xfId="21" applyFont="1" applyBorder="1" applyAlignment="1">
      <alignment horizontal="center" vertical="center"/>
      <protection/>
    </xf>
    <xf numFmtId="0" fontId="0" fillId="12" borderId="18" xfId="21" applyFont="1" applyFill="1" applyBorder="1" applyAlignment="1">
      <alignment horizontal="center" vertical="center"/>
      <protection/>
    </xf>
    <xf numFmtId="0" fontId="0" fillId="0" borderId="18" xfId="21" applyFont="1" applyFill="1" applyBorder="1" applyAlignment="1">
      <alignment horizontal="center" vertical="center"/>
      <protection/>
    </xf>
    <xf numFmtId="0" fontId="0" fillId="9" borderId="18" xfId="21" applyFont="1" applyFill="1" applyBorder="1" applyAlignment="1">
      <alignment horizontal="center" vertical="center"/>
      <protection/>
    </xf>
    <xf numFmtId="0" fontId="0" fillId="10" borderId="18" xfId="21" applyFont="1" applyFill="1" applyBorder="1" applyAlignment="1">
      <alignment horizontal="center" vertical="center"/>
      <protection/>
    </xf>
    <xf numFmtId="0" fontId="0" fillId="0" borderId="23" xfId="21" applyFont="1" applyFill="1" applyBorder="1" applyAlignment="1">
      <alignment horizontal="center" vertical="center"/>
      <protection/>
    </xf>
    <xf numFmtId="0" fontId="48" fillId="0" borderId="0" xfId="21" applyFont="1" applyFill="1" applyBorder="1" applyAlignment="1">
      <alignment horizontal="center" vertical="center" wrapText="1"/>
      <protection/>
    </xf>
    <xf numFmtId="0" fontId="0" fillId="0" borderId="0" xfId="20" applyFont="1">
      <alignment/>
      <protection/>
    </xf>
    <xf numFmtId="0" fontId="0" fillId="0" borderId="0" xfId="20" applyFont="1" applyAlignment="1">
      <alignment vertical="center"/>
      <protection/>
    </xf>
    <xf numFmtId="0" fontId="0" fillId="0" borderId="0" xfId="20" applyFont="1" applyAlignment="1">
      <alignment horizontal="center"/>
      <protection/>
    </xf>
    <xf numFmtId="0" fontId="3" fillId="0" borderId="3"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1" xfId="0" applyFont="1" applyBorder="1" applyAlignment="1">
      <alignment horizontal="center" vertical="center" wrapText="1"/>
    </xf>
    <xf numFmtId="0" fontId="30" fillId="0" borderId="20" xfId="20" applyFont="1" applyBorder="1" applyAlignment="1">
      <alignment horizontal="center" vertical="center"/>
      <protection/>
    </xf>
    <xf numFmtId="0" fontId="30" fillId="0" borderId="6" xfId="20" applyFont="1" applyBorder="1" applyAlignment="1">
      <alignment horizontal="center" vertical="center" wrapText="1"/>
      <protection/>
    </xf>
    <xf numFmtId="0" fontId="27" fillId="0" borderId="51" xfId="20" applyNumberFormat="1" applyFont="1" applyBorder="1" applyAlignment="1">
      <alignment horizontal="center" vertical="center"/>
      <protection/>
    </xf>
    <xf numFmtId="0" fontId="27" fillId="0" borderId="6" xfId="20" applyNumberFormat="1" applyFont="1" applyBorder="1" applyAlignment="1">
      <alignment horizontal="center" vertical="center"/>
      <protection/>
    </xf>
    <xf numFmtId="0" fontId="27" fillId="0" borderId="21" xfId="20" applyNumberFormat="1" applyFont="1" applyBorder="1" applyAlignment="1">
      <alignment horizontal="center" vertical="center"/>
      <protection/>
    </xf>
    <xf numFmtId="0" fontId="3" fillId="2" borderId="37" xfId="0" applyFont="1" applyFill="1" applyBorder="1" applyAlignment="1">
      <alignment vertical="center"/>
    </xf>
    <xf numFmtId="0" fontId="27" fillId="2" borderId="48" xfId="0" applyFont="1" applyFill="1" applyBorder="1" applyAlignment="1">
      <alignment horizontal="center" vertical="center"/>
    </xf>
    <xf numFmtId="0" fontId="27" fillId="2" borderId="37" xfId="0" applyFont="1" applyFill="1" applyBorder="1" applyAlignment="1">
      <alignment horizontal="center" vertical="center"/>
    </xf>
    <xf numFmtId="49" fontId="30" fillId="5" borderId="39" xfId="20" applyNumberFormat="1" applyFont="1" applyFill="1" applyBorder="1" applyAlignment="1">
      <alignment horizontal="center" vertical="center"/>
      <protection/>
    </xf>
    <xf numFmtId="0" fontId="30" fillId="5" borderId="13" xfId="21" applyFont="1" applyFill="1" applyBorder="1" applyAlignment="1">
      <alignment horizontal="center" vertical="center" wrapText="1"/>
      <protection/>
    </xf>
    <xf numFmtId="0" fontId="23" fillId="5" borderId="13" xfId="21" applyNumberFormat="1" applyFont="1" applyFill="1" applyBorder="1" applyAlignment="1">
      <alignment horizontal="center" vertical="center" wrapText="1"/>
      <protection/>
    </xf>
    <xf numFmtId="2" fontId="19" fillId="5" borderId="13" xfId="21" applyNumberFormat="1" applyFont="1" applyFill="1" applyBorder="1" applyAlignment="1">
      <alignment horizontal="center" vertical="center" wrapText="1"/>
      <protection/>
    </xf>
    <xf numFmtId="2" fontId="19" fillId="5" borderId="30" xfId="21" applyNumberFormat="1" applyFont="1" applyFill="1" applyBorder="1" applyAlignment="1">
      <alignment horizontal="center" vertical="center" wrapText="1"/>
      <protection/>
    </xf>
    <xf numFmtId="0" fontId="3" fillId="2" borderId="39" xfId="0" applyFont="1" applyFill="1" applyBorder="1" applyAlignment="1">
      <alignment vertical="center"/>
    </xf>
    <xf numFmtId="0" fontId="27" fillId="2" borderId="39" xfId="0" applyFont="1" applyFill="1" applyBorder="1" applyAlignment="1">
      <alignment horizontal="center" vertical="center"/>
    </xf>
    <xf numFmtId="49" fontId="30" fillId="3" borderId="39" xfId="20" applyNumberFormat="1" applyFont="1" applyFill="1" applyBorder="1" applyAlignment="1">
      <alignment horizontal="center" vertical="center"/>
      <protection/>
    </xf>
    <xf numFmtId="49" fontId="30" fillId="3" borderId="13" xfId="21" applyNumberFormat="1" applyFont="1" applyFill="1" applyBorder="1" applyAlignment="1">
      <alignment horizontal="center" vertical="center" wrapText="1"/>
      <protection/>
    </xf>
    <xf numFmtId="2" fontId="27" fillId="3" borderId="30" xfId="21" applyNumberFormat="1" applyFont="1" applyFill="1" applyBorder="1" applyAlignment="1">
      <alignment horizontal="center" vertical="center" wrapText="1"/>
      <protection/>
    </xf>
    <xf numFmtId="2" fontId="19" fillId="3" borderId="30" xfId="21" applyNumberFormat="1" applyFont="1" applyFill="1" applyBorder="1" applyAlignment="1">
      <alignment horizontal="center" vertical="center" wrapText="1"/>
      <protection/>
    </xf>
    <xf numFmtId="0" fontId="3" fillId="2" borderId="16" xfId="0" applyFont="1" applyFill="1" applyBorder="1" applyAlignment="1">
      <alignment vertical="center"/>
    </xf>
    <xf numFmtId="49" fontId="30" fillId="4" borderId="39" xfId="20" applyNumberFormat="1" applyFont="1" applyFill="1" applyBorder="1" applyAlignment="1">
      <alignment horizontal="center" vertical="center"/>
      <protection/>
    </xf>
    <xf numFmtId="49" fontId="30" fillId="4" borderId="13" xfId="21" applyNumberFormat="1" applyFont="1" applyFill="1" applyBorder="1" applyAlignment="1">
      <alignment horizontal="center" vertical="center" wrapText="1"/>
      <protection/>
    </xf>
    <xf numFmtId="49" fontId="30" fillId="14" borderId="12" xfId="20" applyNumberFormat="1" applyFont="1" applyFill="1" applyBorder="1" applyAlignment="1">
      <alignment horizontal="center" vertical="center"/>
      <protection/>
    </xf>
    <xf numFmtId="49" fontId="30" fillId="14" borderId="13" xfId="20" applyNumberFormat="1" applyFont="1" applyFill="1" applyBorder="1" applyAlignment="1">
      <alignment horizontal="center" vertical="center"/>
      <protection/>
    </xf>
    <xf numFmtId="0" fontId="19" fillId="14" borderId="49" xfId="20" applyNumberFormat="1" applyFont="1" applyFill="1" applyBorder="1" applyAlignment="1">
      <alignment horizontal="center" vertical="center" wrapText="1"/>
      <protection/>
    </xf>
    <xf numFmtId="0" fontId="19" fillId="14" borderId="13" xfId="20" applyNumberFormat="1" applyFont="1" applyFill="1" applyBorder="1" applyAlignment="1">
      <alignment horizontal="center" vertical="center" wrapText="1"/>
      <protection/>
    </xf>
    <xf numFmtId="0" fontId="27" fillId="14" borderId="13" xfId="20" applyNumberFormat="1" applyFont="1" applyFill="1" applyBorder="1" applyAlignment="1">
      <alignment horizontal="center" vertical="center" wrapText="1"/>
      <protection/>
    </xf>
    <xf numFmtId="176" fontId="27" fillId="14" borderId="13" xfId="0" applyNumberFormat="1" applyFont="1" applyFill="1" applyBorder="1" applyAlignment="1">
      <alignment horizontal="center" vertical="center" wrapText="1"/>
    </xf>
    <xf numFmtId="172" fontId="27" fillId="14" borderId="22" xfId="20" applyNumberFormat="1" applyFont="1" applyFill="1" applyBorder="1" applyAlignment="1">
      <alignment horizontal="center" vertical="center" wrapText="1"/>
      <protection/>
    </xf>
    <xf numFmtId="0" fontId="19" fillId="14" borderId="22" xfId="20" applyNumberFormat="1" applyFont="1" applyFill="1" applyBorder="1" applyAlignment="1">
      <alignment horizontal="center" vertical="center" wrapText="1"/>
      <protection/>
    </xf>
    <xf numFmtId="2" fontId="19" fillId="14" borderId="13" xfId="20" applyNumberFormat="1" applyFont="1" applyFill="1" applyBorder="1" applyAlignment="1">
      <alignment horizontal="center" vertical="center" wrapText="1"/>
      <protection/>
    </xf>
    <xf numFmtId="0" fontId="3" fillId="2" borderId="25" xfId="0" applyFont="1" applyFill="1" applyBorder="1" applyAlignment="1">
      <alignment vertical="center"/>
    </xf>
    <xf numFmtId="172" fontId="19" fillId="14" borderId="13" xfId="20" applyNumberFormat="1" applyFont="1" applyFill="1" applyBorder="1" applyAlignment="1">
      <alignment horizontal="center" vertical="center" wrapText="1"/>
      <protection/>
    </xf>
    <xf numFmtId="0" fontId="0" fillId="15" borderId="38" xfId="0" applyFont="1" applyFill="1" applyBorder="1" applyAlignment="1">
      <alignment vertical="center"/>
    </xf>
    <xf numFmtId="0" fontId="27" fillId="15" borderId="48" xfId="0" applyFont="1" applyFill="1" applyBorder="1" applyAlignment="1">
      <alignment horizontal="center" vertical="center"/>
    </xf>
    <xf numFmtId="0" fontId="2" fillId="15" borderId="9" xfId="0" applyFont="1" applyFill="1" applyBorder="1" applyAlignment="1">
      <alignment horizontal="center" vertical="center"/>
    </xf>
    <xf numFmtId="0" fontId="2" fillId="3" borderId="15" xfId="0" applyFont="1" applyFill="1" applyBorder="1" applyAlignment="1">
      <alignment horizontal="center" vertical="center"/>
    </xf>
    <xf numFmtId="0" fontId="48" fillId="0" borderId="0" xfId="20" applyFont="1" applyAlignment="1">
      <alignment vertical="center"/>
      <protection/>
    </xf>
    <xf numFmtId="176" fontId="19" fillId="14" borderId="13" xfId="0" applyNumberFormat="1" applyFont="1" applyFill="1" applyBorder="1" applyAlignment="1">
      <alignment horizontal="center" vertical="center" wrapText="1"/>
    </xf>
    <xf numFmtId="0" fontId="27" fillId="7" borderId="39" xfId="0" applyFont="1" applyFill="1" applyBorder="1" applyAlignment="1">
      <alignment horizontal="center" vertical="center"/>
    </xf>
    <xf numFmtId="49" fontId="30" fillId="14" borderId="17" xfId="20" applyNumberFormat="1" applyFont="1" applyFill="1" applyBorder="1" applyAlignment="1">
      <alignment horizontal="center" vertical="center"/>
      <protection/>
    </xf>
    <xf numFmtId="49" fontId="30" fillId="14" borderId="18" xfId="20" applyNumberFormat="1" applyFont="1" applyFill="1" applyBorder="1" applyAlignment="1">
      <alignment horizontal="center" vertical="center"/>
      <protection/>
    </xf>
    <xf numFmtId="0" fontId="19" fillId="14" borderId="18" xfId="20" applyNumberFormat="1" applyFont="1" applyFill="1" applyBorder="1" applyAlignment="1">
      <alignment horizontal="center" vertical="center" wrapText="1"/>
      <protection/>
    </xf>
    <xf numFmtId="176" fontId="27" fillId="14" borderId="18" xfId="0" applyNumberFormat="1" applyFont="1" applyFill="1" applyBorder="1" applyAlignment="1">
      <alignment horizontal="center" vertical="center" wrapText="1"/>
    </xf>
    <xf numFmtId="0" fontId="19" fillId="14" borderId="23" xfId="20" applyNumberFormat="1" applyFont="1" applyFill="1" applyBorder="1" applyAlignment="1">
      <alignment horizontal="center" vertical="center" wrapText="1"/>
      <protection/>
    </xf>
    <xf numFmtId="0" fontId="2" fillId="14" borderId="15" xfId="0" applyFont="1" applyFill="1" applyBorder="1" applyAlignment="1">
      <alignment horizontal="center" vertical="center"/>
    </xf>
    <xf numFmtId="0" fontId="33" fillId="0" borderId="0" xfId="20" applyFont="1" applyAlignment="1">
      <alignment horizontal="center" wrapText="1"/>
      <protection/>
    </xf>
    <xf numFmtId="49" fontId="33" fillId="0" borderId="0" xfId="20" applyNumberFormat="1" applyFont="1" applyAlignment="1">
      <alignment horizontal="center" vertical="center" wrapText="1"/>
      <protection/>
    </xf>
    <xf numFmtId="49" fontId="33" fillId="0" borderId="0" xfId="20" applyNumberFormat="1" applyFont="1" applyAlignment="1">
      <alignment vertical="center" wrapText="1"/>
      <protection/>
    </xf>
    <xf numFmtId="0" fontId="30" fillId="6" borderId="53" xfId="20" applyFont="1" applyFill="1" applyBorder="1" applyAlignment="1">
      <alignment horizontal="center" vertical="center" wrapText="1"/>
      <protection/>
    </xf>
    <xf numFmtId="0" fontId="19" fillId="6" borderId="49" xfId="20" applyNumberFormat="1" applyFont="1" applyFill="1" applyBorder="1" applyAlignment="1">
      <alignment horizontal="center" vertical="center" wrapText="1"/>
      <protection/>
    </xf>
    <xf numFmtId="2" fontId="27" fillId="6" borderId="49" xfId="20" applyNumberFormat="1" applyFont="1" applyFill="1" applyBorder="1" applyAlignment="1">
      <alignment horizontal="center" vertical="center" wrapText="1"/>
      <protection/>
    </xf>
    <xf numFmtId="0" fontId="19" fillId="6" borderId="54" xfId="20" applyNumberFormat="1" applyFont="1" applyFill="1" applyBorder="1" applyAlignment="1">
      <alignment horizontal="center" vertical="center" wrapText="1"/>
      <protection/>
    </xf>
    <xf numFmtId="49" fontId="0" fillId="0" borderId="0" xfId="20" applyNumberFormat="1" applyFont="1" applyAlignment="1">
      <alignment vertical="center"/>
      <protection/>
    </xf>
    <xf numFmtId="0" fontId="30" fillId="6" borderId="12" xfId="20" applyFont="1" applyFill="1" applyBorder="1" applyAlignment="1">
      <alignment horizontal="center" vertical="center" wrapText="1"/>
      <protection/>
    </xf>
    <xf numFmtId="0" fontId="19" fillId="6" borderId="13" xfId="20" applyNumberFormat="1" applyFont="1" applyFill="1" applyBorder="1" applyAlignment="1">
      <alignment horizontal="center" vertical="center" wrapText="1"/>
      <protection/>
    </xf>
    <xf numFmtId="0" fontId="27" fillId="6" borderId="13" xfId="20" applyNumberFormat="1" applyFont="1" applyFill="1" applyBorder="1" applyAlignment="1">
      <alignment horizontal="center" vertical="center" wrapText="1"/>
      <protection/>
    </xf>
    <xf numFmtId="0" fontId="19" fillId="6" borderId="22" xfId="20" applyNumberFormat="1" applyFont="1" applyFill="1" applyBorder="1" applyAlignment="1">
      <alignment horizontal="center" vertical="center" wrapText="1"/>
      <protection/>
    </xf>
    <xf numFmtId="0" fontId="0" fillId="14" borderId="11" xfId="0" applyFont="1" applyFill="1" applyBorder="1" applyAlignment="1">
      <alignment vertical="center"/>
    </xf>
    <xf numFmtId="176" fontId="27" fillId="6" borderId="13" xfId="20" applyNumberFormat="1" applyFont="1" applyFill="1" applyBorder="1" applyAlignment="1">
      <alignment horizontal="center" vertical="center" wrapText="1"/>
      <protection/>
    </xf>
    <xf numFmtId="176" fontId="19" fillId="6" borderId="13" xfId="20" applyNumberFormat="1" applyFont="1" applyFill="1" applyBorder="1" applyAlignment="1">
      <alignment horizontal="center" vertical="center" wrapText="1"/>
      <protection/>
    </xf>
    <xf numFmtId="174" fontId="27" fillId="6" borderId="13" xfId="20" applyNumberFormat="1" applyFont="1" applyFill="1" applyBorder="1" applyAlignment="1">
      <alignment horizontal="center" vertical="center" wrapText="1"/>
      <protection/>
    </xf>
    <xf numFmtId="0" fontId="30" fillId="6" borderId="17" xfId="20" applyFont="1" applyFill="1" applyBorder="1" applyAlignment="1">
      <alignment horizontal="center" vertical="center" wrapText="1"/>
      <protection/>
    </xf>
    <xf numFmtId="0" fontId="19" fillId="6" borderId="18" xfId="20" applyNumberFormat="1" applyFont="1" applyFill="1" applyBorder="1" applyAlignment="1">
      <alignment horizontal="center" vertical="center" wrapText="1"/>
      <protection/>
    </xf>
    <xf numFmtId="0" fontId="27" fillId="6" borderId="18" xfId="20" applyNumberFormat="1" applyFont="1" applyFill="1" applyBorder="1" applyAlignment="1">
      <alignment horizontal="center" vertical="center" wrapText="1"/>
      <protection/>
    </xf>
    <xf numFmtId="0" fontId="19" fillId="6" borderId="23" xfId="20" applyNumberFormat="1" applyFont="1" applyFill="1" applyBorder="1" applyAlignment="1">
      <alignment horizontal="center" vertical="center" wrapText="1"/>
      <protection/>
    </xf>
    <xf numFmtId="0" fontId="0" fillId="8" borderId="16" xfId="0" applyFont="1" applyFill="1" applyBorder="1" applyAlignment="1">
      <alignment vertical="center"/>
    </xf>
    <xf numFmtId="0" fontId="2" fillId="8" borderId="15" xfId="0" applyFont="1" applyFill="1" applyBorder="1" applyAlignment="1">
      <alignment horizontal="center" vertical="center"/>
    </xf>
    <xf numFmtId="0" fontId="0" fillId="0" borderId="0" xfId="20" applyFont="1" applyAlignment="1">
      <alignment horizontal="center" wrapText="1"/>
      <protection/>
    </xf>
    <xf numFmtId="49" fontId="0" fillId="0" borderId="0" xfId="20" applyNumberFormat="1" applyFont="1" applyAlignment="1">
      <alignment horizontal="center" vertical="center" wrapText="1"/>
      <protection/>
    </xf>
    <xf numFmtId="49" fontId="0" fillId="0" borderId="0" xfId="20" applyNumberFormat="1" applyFont="1" applyAlignment="1">
      <alignment vertical="center" wrapText="1"/>
      <protection/>
    </xf>
    <xf numFmtId="0" fontId="0" fillId="8" borderId="15" xfId="0" applyFont="1" applyFill="1" applyBorder="1" applyAlignment="1">
      <alignment vertical="center"/>
    </xf>
    <xf numFmtId="0" fontId="27" fillId="8" borderId="11" xfId="0" applyFont="1" applyFill="1" applyBorder="1" applyAlignment="1">
      <alignment horizontal="center" vertical="center"/>
    </xf>
    <xf numFmtId="0" fontId="0" fillId="16" borderId="15" xfId="0" applyFont="1" applyFill="1" applyBorder="1" applyAlignment="1">
      <alignment vertical="center"/>
    </xf>
    <xf numFmtId="0" fontId="27" fillId="16" borderId="11" xfId="0" applyFont="1" applyFill="1" applyBorder="1" applyAlignment="1">
      <alignment horizontal="center" vertical="center"/>
    </xf>
    <xf numFmtId="0" fontId="2" fillId="16" borderId="15" xfId="0" applyFont="1" applyFill="1" applyBorder="1" applyAlignment="1">
      <alignment horizontal="center" vertical="center"/>
    </xf>
    <xf numFmtId="2" fontId="19" fillId="5" borderId="30" xfId="21" applyNumberFormat="1" applyFont="1" applyFill="1" applyBorder="1" applyAlignment="1" quotePrefix="1">
      <alignment horizontal="center" vertical="center" wrapText="1"/>
      <protection/>
    </xf>
    <xf numFmtId="0" fontId="0" fillId="17" borderId="15" xfId="0" applyFont="1" applyFill="1" applyBorder="1" applyAlignment="1">
      <alignment vertical="center"/>
    </xf>
    <xf numFmtId="0" fontId="2" fillId="17" borderId="15" xfId="0" applyFont="1" applyFill="1" applyBorder="1" applyAlignment="1">
      <alignment horizontal="center" vertical="center"/>
    </xf>
    <xf numFmtId="1" fontId="19" fillId="3" borderId="13" xfId="21" applyNumberFormat="1" applyFont="1" applyFill="1" applyBorder="1" applyAlignment="1">
      <alignment horizontal="left" vertical="center" wrapText="1" indent="2"/>
      <protection/>
    </xf>
    <xf numFmtId="0" fontId="27" fillId="6" borderId="39" xfId="0" applyFont="1" applyFill="1" applyBorder="1" applyAlignment="1">
      <alignment horizontal="center" vertical="center"/>
    </xf>
    <xf numFmtId="2" fontId="37" fillId="6" borderId="30" xfId="0" applyNumberFormat="1" applyFont="1" applyFill="1" applyBorder="1" applyAlignment="1">
      <alignment horizontal="center" vertical="center"/>
    </xf>
    <xf numFmtId="0" fontId="5" fillId="6" borderId="32" xfId="0" applyFont="1" applyFill="1" applyBorder="1" applyAlignment="1">
      <alignment horizontal="left" vertical="center"/>
    </xf>
    <xf numFmtId="0" fontId="27" fillId="6" borderId="25" xfId="0" applyFont="1" applyFill="1" applyBorder="1" applyAlignment="1">
      <alignment horizontal="center" vertical="center"/>
    </xf>
    <xf numFmtId="2" fontId="37" fillId="6" borderId="27" xfId="0" applyNumberFormat="1" applyFont="1" applyFill="1" applyBorder="1" applyAlignment="1">
      <alignment horizontal="center" vertical="center"/>
    </xf>
    <xf numFmtId="0" fontId="0" fillId="15" borderId="10" xfId="0" applyFont="1" applyFill="1" applyBorder="1" applyAlignment="1">
      <alignment vertical="center"/>
    </xf>
    <xf numFmtId="0" fontId="27" fillId="15" borderId="55" xfId="0" applyFont="1" applyFill="1" applyBorder="1" applyAlignment="1">
      <alignment horizontal="center" vertical="center"/>
    </xf>
    <xf numFmtId="0" fontId="27" fillId="15" borderId="39" xfId="0" applyFont="1" applyFill="1" applyBorder="1" applyAlignment="1">
      <alignment horizontal="center" vertical="center"/>
    </xf>
    <xf numFmtId="0" fontId="2" fillId="15" borderId="32" xfId="0" applyFont="1" applyFill="1" applyBorder="1" applyAlignment="1">
      <alignment horizontal="center" vertical="center"/>
    </xf>
    <xf numFmtId="0" fontId="2" fillId="3" borderId="32" xfId="0" applyFont="1" applyFill="1" applyBorder="1" applyAlignment="1">
      <alignment horizontal="center" vertical="center"/>
    </xf>
    <xf numFmtId="0" fontId="27" fillId="3" borderId="48" xfId="0" applyFont="1" applyFill="1" applyBorder="1" applyAlignment="1">
      <alignment horizontal="center" vertical="center"/>
    </xf>
    <xf numFmtId="49" fontId="0" fillId="0" borderId="0" xfId="20" applyNumberFormat="1" applyFont="1" applyAlignment="1">
      <alignment horizontal="center" vertical="center"/>
      <protection/>
    </xf>
    <xf numFmtId="49" fontId="0" fillId="0" borderId="0" xfId="20" applyNumberFormat="1" applyFont="1" applyBorder="1" applyAlignment="1">
      <alignment vertical="center"/>
      <protection/>
    </xf>
    <xf numFmtId="0" fontId="2" fillId="14" borderId="9" xfId="0" applyFont="1" applyFill="1" applyBorder="1" applyAlignment="1">
      <alignment horizontal="center" vertical="center"/>
    </xf>
    <xf numFmtId="0" fontId="0" fillId="0" borderId="0" xfId="20" applyFont="1" applyFill="1" applyBorder="1" applyAlignment="1">
      <alignment horizontal="center" vertical="center"/>
      <protection/>
    </xf>
    <xf numFmtId="0" fontId="48" fillId="0" borderId="0" xfId="20" applyFont="1" applyBorder="1" applyAlignment="1">
      <alignment horizontal="center" vertical="center"/>
      <protection/>
    </xf>
    <xf numFmtId="0" fontId="48" fillId="0" borderId="0" xfId="20" applyFont="1" applyFill="1" applyBorder="1" applyAlignment="1">
      <alignment horizontal="center" vertical="center"/>
      <protection/>
    </xf>
    <xf numFmtId="0" fontId="0" fillId="0" borderId="3" xfId="20" applyFont="1" applyBorder="1" applyAlignment="1">
      <alignment horizontal="center" vertical="center"/>
      <protection/>
    </xf>
    <xf numFmtId="0" fontId="0" fillId="0" borderId="0" xfId="20" applyFont="1" applyFill="1" applyAlignment="1">
      <alignment horizontal="center"/>
      <protection/>
    </xf>
    <xf numFmtId="0" fontId="0" fillId="0" borderId="10" xfId="20" applyFont="1" applyFill="1" applyBorder="1" applyAlignment="1">
      <alignment horizontal="center" vertical="center"/>
      <protection/>
    </xf>
    <xf numFmtId="0" fontId="0" fillId="0" borderId="9" xfId="20" applyNumberFormat="1" applyFont="1" applyFill="1" applyBorder="1" applyAlignment="1">
      <alignment horizontal="center" vertical="center"/>
      <protection/>
    </xf>
    <xf numFmtId="0" fontId="0" fillId="0" borderId="15" xfId="20" applyFont="1" applyFill="1" applyBorder="1" applyAlignment="1">
      <alignment horizontal="center" vertical="center"/>
      <protection/>
    </xf>
    <xf numFmtId="0" fontId="0" fillId="0" borderId="15" xfId="20" applyNumberFormat="1" applyFont="1" applyFill="1" applyBorder="1" applyAlignment="1">
      <alignment horizontal="center" vertical="center"/>
      <protection/>
    </xf>
    <xf numFmtId="176" fontId="0" fillId="0" borderId="15" xfId="20" applyNumberFormat="1" applyFont="1" applyFill="1" applyBorder="1" applyAlignment="1">
      <alignment horizontal="center" vertical="center"/>
      <protection/>
    </xf>
    <xf numFmtId="2" fontId="0" fillId="0" borderId="15" xfId="20" applyNumberFormat="1" applyFont="1" applyFill="1" applyBorder="1" applyAlignment="1">
      <alignment horizontal="center" vertical="center"/>
      <protection/>
    </xf>
    <xf numFmtId="0" fontId="2" fillId="14" borderId="32" xfId="0" applyFont="1" applyFill="1" applyBorder="1" applyAlignment="1">
      <alignment horizontal="center" vertical="center"/>
    </xf>
    <xf numFmtId="49" fontId="0" fillId="0" borderId="0" xfId="20" applyNumberFormat="1" applyFont="1" applyBorder="1" applyAlignment="1">
      <alignment horizontal="center" vertical="center"/>
      <protection/>
    </xf>
    <xf numFmtId="0" fontId="0" fillId="0" borderId="0" xfId="20" applyFont="1" applyAlignment="1">
      <alignment horizontal="center" vertical="center"/>
      <protection/>
    </xf>
    <xf numFmtId="174" fontId="0" fillId="0" borderId="15" xfId="20" applyNumberFormat="1" applyFont="1" applyFill="1" applyBorder="1" applyAlignment="1">
      <alignment horizontal="center" vertical="center"/>
      <protection/>
    </xf>
    <xf numFmtId="0" fontId="0" fillId="0" borderId="24" xfId="20" applyFont="1" applyFill="1" applyBorder="1" applyAlignment="1">
      <alignment horizontal="center" vertical="center"/>
      <protection/>
    </xf>
    <xf numFmtId="0" fontId="0" fillId="0" borderId="24" xfId="20" applyNumberFormat="1" applyFont="1" applyFill="1" applyBorder="1" applyAlignment="1">
      <alignment horizontal="center" vertical="center"/>
      <protection/>
    </xf>
    <xf numFmtId="0" fontId="48" fillId="0" borderId="20" xfId="20" applyFont="1" applyFill="1" applyBorder="1" applyAlignment="1">
      <alignment horizontal="center" vertical="center"/>
      <protection/>
    </xf>
    <xf numFmtId="0" fontId="48" fillId="0" borderId="6" xfId="20" applyFont="1" applyFill="1" applyBorder="1" applyAlignment="1">
      <alignment horizontal="center" vertical="center" wrapText="1"/>
      <protection/>
    </xf>
    <xf numFmtId="0" fontId="48" fillId="0" borderId="51" xfId="20" applyFont="1" applyFill="1" applyBorder="1" applyAlignment="1">
      <alignment horizontal="center" vertical="center"/>
      <protection/>
    </xf>
    <xf numFmtId="0" fontId="48" fillId="0" borderId="6" xfId="20" applyFont="1" applyFill="1" applyBorder="1" applyAlignment="1">
      <alignment horizontal="center" vertical="center"/>
      <protection/>
    </xf>
    <xf numFmtId="0" fontId="48" fillId="0" borderId="21" xfId="20" applyFont="1" applyFill="1" applyBorder="1" applyAlignment="1">
      <alignment horizontal="center" vertical="center"/>
      <protection/>
    </xf>
    <xf numFmtId="0" fontId="48" fillId="0" borderId="0" xfId="20" applyFont="1" applyFill="1" applyAlignment="1">
      <alignment horizontal="center" vertical="center"/>
      <protection/>
    </xf>
    <xf numFmtId="0" fontId="2" fillId="4" borderId="9" xfId="0" applyFont="1" applyFill="1" applyBorder="1" applyAlignment="1">
      <alignment horizontal="center" vertical="center"/>
    </xf>
    <xf numFmtId="49" fontId="48" fillId="0" borderId="39" xfId="20" applyNumberFormat="1" applyFont="1" applyFill="1" applyBorder="1" applyAlignment="1">
      <alignment horizontal="center" vertical="center"/>
      <protection/>
    </xf>
    <xf numFmtId="0" fontId="30" fillId="0" borderId="13" xfId="21" applyFont="1" applyFill="1" applyBorder="1" applyAlignment="1">
      <alignment horizontal="center" vertical="center" wrapText="1"/>
      <protection/>
    </xf>
    <xf numFmtId="0" fontId="0" fillId="0" borderId="13" xfId="21" applyFont="1" applyFill="1" applyBorder="1" applyAlignment="1">
      <alignment horizontal="center" vertical="center" wrapText="1"/>
      <protection/>
    </xf>
    <xf numFmtId="2" fontId="0" fillId="0" borderId="30" xfId="21" applyNumberFormat="1" applyFont="1" applyFill="1" applyBorder="1" applyAlignment="1">
      <alignment horizontal="center" vertical="center" wrapText="1"/>
      <protection/>
    </xf>
    <xf numFmtId="49" fontId="0" fillId="0" borderId="0" xfId="20" applyNumberFormat="1" applyFont="1" applyFill="1" applyBorder="1" applyAlignment="1">
      <alignment horizontal="center" vertical="center"/>
      <protection/>
    </xf>
    <xf numFmtId="177" fontId="0" fillId="0" borderId="10" xfId="20" applyNumberFormat="1" applyFont="1" applyFill="1" applyBorder="1" applyAlignment="1">
      <alignment horizontal="center" vertical="center"/>
      <protection/>
    </xf>
    <xf numFmtId="177" fontId="0" fillId="0" borderId="35" xfId="20" applyNumberFormat="1" applyFont="1" applyFill="1" applyBorder="1" applyAlignment="1">
      <alignment horizontal="center" vertical="center"/>
      <protection/>
    </xf>
    <xf numFmtId="0" fontId="27" fillId="4" borderId="46" xfId="0" applyFont="1" applyFill="1" applyBorder="1" applyAlignment="1">
      <alignment horizontal="center" vertical="center"/>
    </xf>
    <xf numFmtId="0" fontId="2" fillId="4" borderId="32" xfId="0" applyFont="1" applyFill="1" applyBorder="1" applyAlignment="1">
      <alignment horizontal="center" vertical="center"/>
    </xf>
    <xf numFmtId="2" fontId="0" fillId="0" borderId="13" xfId="21" applyNumberFormat="1" applyFont="1" applyFill="1" applyBorder="1" applyAlignment="1">
      <alignment horizontal="center" vertical="center" wrapText="1"/>
      <protection/>
    </xf>
    <xf numFmtId="0" fontId="0" fillId="0" borderId="0" xfId="20" applyFont="1" applyFill="1" applyAlignment="1">
      <alignment horizontal="center" vertical="center"/>
      <protection/>
    </xf>
    <xf numFmtId="177" fontId="0" fillId="0" borderId="15" xfId="20" applyNumberFormat="1" applyFont="1" applyFill="1" applyBorder="1" applyAlignment="1">
      <alignment horizontal="center" vertical="center"/>
      <protection/>
    </xf>
    <xf numFmtId="177" fontId="0" fillId="0" borderId="11" xfId="20" applyNumberFormat="1" applyFont="1" applyFill="1" applyBorder="1" applyAlignment="1">
      <alignment horizontal="center" vertical="center"/>
      <protection/>
    </xf>
    <xf numFmtId="0" fontId="27" fillId="4" borderId="25" xfId="0" applyFont="1" applyFill="1" applyBorder="1" applyAlignment="1">
      <alignment horizontal="center" vertical="center"/>
    </xf>
    <xf numFmtId="0" fontId="0" fillId="0" borderId="50" xfId="20" applyFont="1" applyBorder="1" applyAlignment="1">
      <alignment vertical="center"/>
      <protection/>
    </xf>
    <xf numFmtId="2" fontId="0" fillId="0" borderId="22" xfId="21" applyNumberFormat="1" applyFont="1" applyFill="1" applyBorder="1" applyAlignment="1">
      <alignment horizontal="center" vertical="center" wrapText="1"/>
      <protection/>
    </xf>
    <xf numFmtId="49" fontId="48" fillId="0" borderId="12" xfId="20" applyNumberFormat="1" applyFont="1" applyFill="1" applyBorder="1" applyAlignment="1">
      <alignment horizontal="center" vertical="center"/>
      <protection/>
    </xf>
    <xf numFmtId="49" fontId="30" fillId="0" borderId="13" xfId="20" applyNumberFormat="1" applyFont="1" applyFill="1" applyBorder="1" applyAlignment="1">
      <alignment horizontal="center" vertical="center"/>
      <protection/>
    </xf>
    <xf numFmtId="0" fontId="0" fillId="0" borderId="13" xfId="20" applyNumberFormat="1" applyFont="1" applyFill="1" applyBorder="1" applyAlignment="1">
      <alignment horizontal="center" vertical="center"/>
      <protection/>
    </xf>
    <xf numFmtId="176" fontId="0" fillId="0" borderId="13" xfId="0" applyNumberFormat="1" applyFont="1" applyFill="1" applyBorder="1" applyAlignment="1">
      <alignment horizontal="center" vertical="center"/>
    </xf>
    <xf numFmtId="172" fontId="0" fillId="0" borderId="22" xfId="20" applyNumberFormat="1" applyFont="1" applyFill="1" applyBorder="1" applyAlignment="1">
      <alignment horizontal="center" vertical="center"/>
      <protection/>
    </xf>
    <xf numFmtId="49" fontId="0" fillId="0" borderId="0" xfId="20" applyNumberFormat="1" applyFont="1" applyFill="1" applyAlignment="1">
      <alignment horizontal="center" vertical="center"/>
      <protection/>
    </xf>
    <xf numFmtId="0" fontId="0" fillId="0" borderId="22" xfId="20" applyNumberFormat="1" applyFont="1" applyFill="1" applyBorder="1" applyAlignment="1">
      <alignment horizontal="center" vertical="center"/>
      <protection/>
    </xf>
    <xf numFmtId="2" fontId="0" fillId="0" borderId="13" xfId="20" applyNumberFormat="1" applyFont="1" applyFill="1" applyBorder="1" applyAlignment="1">
      <alignment horizontal="center" vertical="center"/>
      <protection/>
    </xf>
    <xf numFmtId="49" fontId="48" fillId="0" borderId="17" xfId="20" applyNumberFormat="1" applyFont="1" applyFill="1" applyBorder="1" applyAlignment="1">
      <alignment horizontal="center" vertical="center"/>
      <protection/>
    </xf>
    <xf numFmtId="49" fontId="30" fillId="0" borderId="18" xfId="20" applyNumberFormat="1" applyFont="1" applyFill="1" applyBorder="1" applyAlignment="1">
      <alignment horizontal="center" vertical="center"/>
      <protection/>
    </xf>
    <xf numFmtId="0" fontId="0" fillId="0" borderId="18" xfId="20" applyNumberFormat="1" applyFont="1" applyFill="1" applyBorder="1" applyAlignment="1">
      <alignment horizontal="center" vertical="center"/>
      <protection/>
    </xf>
    <xf numFmtId="176" fontId="0" fillId="0" borderId="18" xfId="0" applyNumberFormat="1" applyFont="1" applyFill="1" applyBorder="1" applyAlignment="1">
      <alignment horizontal="center" vertical="center"/>
    </xf>
    <xf numFmtId="0" fontId="0" fillId="0" borderId="23" xfId="20" applyNumberFormat="1" applyFont="1" applyFill="1" applyBorder="1" applyAlignment="1">
      <alignment horizontal="center" vertical="center"/>
      <protection/>
    </xf>
    <xf numFmtId="177" fontId="0" fillId="0" borderId="24" xfId="20" applyNumberFormat="1" applyFont="1" applyFill="1" applyBorder="1" applyAlignment="1">
      <alignment horizontal="center" vertical="center"/>
      <protection/>
    </xf>
    <xf numFmtId="177" fontId="0" fillId="0" borderId="36" xfId="20" applyNumberFormat="1" applyFont="1" applyFill="1" applyBorder="1" applyAlignment="1">
      <alignment horizontal="center" vertical="center"/>
      <protection/>
    </xf>
    <xf numFmtId="49" fontId="48" fillId="0" borderId="0" xfId="20" applyNumberFormat="1" applyFont="1" applyBorder="1" applyAlignment="1">
      <alignment horizontal="center" vertical="center"/>
      <protection/>
    </xf>
    <xf numFmtId="0" fontId="0" fillId="0" borderId="0" xfId="20" applyNumberFormat="1" applyFont="1" applyAlignment="1">
      <alignment horizontal="center" vertical="center"/>
      <protection/>
    </xf>
    <xf numFmtId="0" fontId="48" fillId="0" borderId="6" xfId="20" applyFont="1" applyBorder="1" applyAlignment="1">
      <alignment horizontal="center" vertical="center"/>
      <protection/>
    </xf>
    <xf numFmtId="0" fontId="48" fillId="0" borderId="21" xfId="20" applyFont="1" applyBorder="1" applyAlignment="1">
      <alignment horizontal="center" vertical="center"/>
      <protection/>
    </xf>
    <xf numFmtId="0" fontId="0" fillId="0" borderId="13" xfId="20" applyFont="1" applyBorder="1" applyAlignment="1">
      <alignment horizontal="center"/>
      <protection/>
    </xf>
    <xf numFmtId="0" fontId="0" fillId="0" borderId="22" xfId="20" applyFont="1" applyBorder="1" applyAlignment="1">
      <alignment horizontal="center"/>
      <protection/>
    </xf>
    <xf numFmtId="0" fontId="48" fillId="0" borderId="13" xfId="20" applyFont="1" applyBorder="1" applyAlignment="1">
      <alignment horizontal="center" vertical="center"/>
      <protection/>
    </xf>
    <xf numFmtId="0" fontId="48" fillId="0" borderId="22" xfId="20" applyFont="1" applyBorder="1" applyAlignment="1">
      <alignment horizontal="center" vertical="center"/>
      <protection/>
    </xf>
    <xf numFmtId="0" fontId="48" fillId="0" borderId="0" xfId="20" applyFont="1" applyAlignment="1">
      <alignment horizontal="center" vertical="center"/>
      <protection/>
    </xf>
    <xf numFmtId="0" fontId="0" fillId="0" borderId="13" xfId="20" applyFont="1" applyBorder="1" applyAlignment="1">
      <alignment horizontal="center" vertical="center"/>
      <protection/>
    </xf>
    <xf numFmtId="0" fontId="0" fillId="0" borderId="22" xfId="20" applyFont="1" applyBorder="1" applyAlignment="1">
      <alignment horizontal="center" vertical="center"/>
      <protection/>
    </xf>
    <xf numFmtId="0" fontId="0" fillId="9" borderId="13" xfId="20" applyFont="1" applyFill="1" applyBorder="1" applyAlignment="1">
      <alignment horizontal="center"/>
      <protection/>
    </xf>
    <xf numFmtId="49" fontId="0" fillId="0" borderId="13" xfId="20" applyNumberFormat="1" applyFont="1" applyBorder="1" applyAlignment="1">
      <alignment horizontal="center" vertical="center"/>
      <protection/>
    </xf>
    <xf numFmtId="49" fontId="0" fillId="0" borderId="22" xfId="20" applyNumberFormat="1" applyFont="1" applyBorder="1" applyAlignment="1">
      <alignment horizontal="center" vertical="center"/>
      <protection/>
    </xf>
    <xf numFmtId="0" fontId="0" fillId="0" borderId="13" xfId="20" applyFont="1" applyFill="1" applyBorder="1" applyAlignment="1">
      <alignment horizontal="center" vertical="center"/>
      <protection/>
    </xf>
    <xf numFmtId="0" fontId="0" fillId="0" borderId="22" xfId="20" applyFont="1" applyFill="1" applyBorder="1" applyAlignment="1">
      <alignment horizontal="center" vertical="center"/>
      <protection/>
    </xf>
    <xf numFmtId="0" fontId="0" fillId="0" borderId="0" xfId="20" applyFont="1" applyFill="1" applyBorder="1" applyAlignment="1">
      <alignment horizontal="center"/>
      <protection/>
    </xf>
    <xf numFmtId="0" fontId="48" fillId="0" borderId="13" xfId="20" applyFont="1" applyFill="1" applyBorder="1" applyAlignment="1">
      <alignment horizontal="center" vertical="center"/>
      <protection/>
    </xf>
    <xf numFmtId="0" fontId="48" fillId="0" borderId="22" xfId="20" applyFont="1" applyFill="1" applyBorder="1" applyAlignment="1">
      <alignment horizontal="center" vertical="center"/>
      <protection/>
    </xf>
    <xf numFmtId="49" fontId="0" fillId="0" borderId="12" xfId="20" applyNumberFormat="1" applyFont="1" applyFill="1" applyBorder="1" applyAlignment="1">
      <alignment horizontal="center" vertical="center"/>
      <protection/>
    </xf>
    <xf numFmtId="1" fontId="0" fillId="9" borderId="13" xfId="21" applyNumberFormat="1" applyFont="1" applyFill="1" applyBorder="1" applyAlignment="1">
      <alignment horizontal="center" vertical="center" wrapText="1"/>
      <protection/>
    </xf>
    <xf numFmtId="2" fontId="0" fillId="9" borderId="13" xfId="21" applyNumberFormat="1" applyFont="1" applyFill="1" applyBorder="1" applyAlignment="1">
      <alignment horizontal="center" vertical="center" wrapText="1"/>
      <protection/>
    </xf>
    <xf numFmtId="2" fontId="0" fillId="10" borderId="13" xfId="21" applyNumberFormat="1" applyFont="1" applyFill="1" applyBorder="1" applyAlignment="1">
      <alignment horizontal="center" vertical="center" wrapText="1"/>
      <protection/>
    </xf>
    <xf numFmtId="1" fontId="0" fillId="0" borderId="13" xfId="21" applyNumberFormat="1" applyFont="1" applyFill="1" applyBorder="1" applyAlignment="1">
      <alignment horizontal="center" vertical="center" wrapText="1"/>
      <protection/>
    </xf>
    <xf numFmtId="2" fontId="0" fillId="12" borderId="13" xfId="21" applyNumberFormat="1" applyFont="1" applyFill="1" applyBorder="1" applyAlignment="1">
      <alignment horizontal="center" vertical="center" wrapText="1"/>
      <protection/>
    </xf>
    <xf numFmtId="2" fontId="0" fillId="11" borderId="13" xfId="21" applyNumberFormat="1" applyFont="1" applyFill="1" applyBorder="1" applyAlignment="1">
      <alignment horizontal="center" vertical="center" wrapText="1"/>
      <protection/>
    </xf>
    <xf numFmtId="49" fontId="0" fillId="0" borderId="17" xfId="20" applyNumberFormat="1" applyFont="1" applyFill="1" applyBorder="1" applyAlignment="1">
      <alignment horizontal="center" vertical="center"/>
      <protection/>
    </xf>
    <xf numFmtId="49" fontId="0" fillId="12" borderId="18" xfId="20" applyNumberFormat="1" applyFont="1" applyFill="1" applyBorder="1" applyAlignment="1">
      <alignment horizontal="center" vertical="center"/>
      <protection/>
    </xf>
    <xf numFmtId="49" fontId="0" fillId="0" borderId="18" xfId="20" applyNumberFormat="1" applyFont="1" applyFill="1" applyBorder="1" applyAlignment="1">
      <alignment horizontal="center" vertical="center"/>
      <protection/>
    </xf>
    <xf numFmtId="49" fontId="0" fillId="9" borderId="18" xfId="20" applyNumberFormat="1" applyFont="1" applyFill="1" applyBorder="1" applyAlignment="1">
      <alignment horizontal="center" vertical="center"/>
      <protection/>
    </xf>
    <xf numFmtId="49" fontId="0" fillId="10" borderId="18" xfId="20" applyNumberFormat="1" applyFont="1" applyFill="1" applyBorder="1" applyAlignment="1">
      <alignment horizontal="center" vertical="center"/>
      <protection/>
    </xf>
    <xf numFmtId="49" fontId="0" fillId="0" borderId="23" xfId="20" applyNumberFormat="1" applyFont="1" applyFill="1" applyBorder="1" applyAlignment="1">
      <alignment horizontal="center" vertical="center"/>
      <protection/>
    </xf>
    <xf numFmtId="49" fontId="48" fillId="0" borderId="0" xfId="20" applyNumberFormat="1" applyFont="1" applyFill="1" applyBorder="1" applyAlignment="1">
      <alignment horizontal="center" vertical="center"/>
      <protection/>
    </xf>
    <xf numFmtId="0" fontId="3" fillId="0" borderId="0" xfId="0" applyFont="1" applyBorder="1" applyAlignment="1">
      <alignment horizontal="center" vertical="center" wrapText="1"/>
    </xf>
    <xf numFmtId="0" fontId="0" fillId="0" borderId="0" xfId="21" applyFont="1" applyAlignment="1">
      <alignment horizontal="center" vertical="center" wrapText="1"/>
      <protection/>
    </xf>
    <xf numFmtId="0" fontId="0" fillId="0" borderId="0" xfId="21"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24" fillId="0" borderId="20" xfId="0" applyFont="1" applyBorder="1" applyAlignment="1">
      <alignment horizontal="center" vertical="center" wrapText="1"/>
    </xf>
    <xf numFmtId="0" fontId="24" fillId="0" borderId="6" xfId="0" applyFont="1" applyBorder="1" applyAlignment="1">
      <alignment horizontal="center" vertical="center" wrapText="1"/>
    </xf>
    <xf numFmtId="0" fontId="21" fillId="0" borderId="52" xfId="0" applyNumberFormat="1" applyFont="1" applyBorder="1" applyAlignment="1">
      <alignment horizontal="center" vertical="center" wrapText="1"/>
    </xf>
    <xf numFmtId="0" fontId="3" fillId="2" borderId="37" xfId="0" applyFont="1" applyFill="1" applyBorder="1" applyAlignment="1">
      <alignment horizontal="left" vertical="center" wrapText="1"/>
    </xf>
    <xf numFmtId="0" fontId="27" fillId="2" borderId="10" xfId="0" applyFont="1" applyFill="1" applyBorder="1" applyAlignment="1">
      <alignment horizontal="center" vertical="center" wrapText="1"/>
    </xf>
    <xf numFmtId="0" fontId="65" fillId="2" borderId="37" xfId="0" applyFont="1" applyFill="1" applyBorder="1" applyAlignment="1">
      <alignment horizontal="center" vertical="center"/>
    </xf>
    <xf numFmtId="0" fontId="5" fillId="0" borderId="10" xfId="0" applyFont="1" applyBorder="1" applyAlignment="1">
      <alignment horizontal="center" vertical="center" wrapText="1"/>
    </xf>
    <xf numFmtId="0" fontId="44" fillId="5" borderId="12" xfId="0" applyFont="1" applyFill="1" applyBorder="1" applyAlignment="1">
      <alignment horizontal="center" vertical="center" wrapText="1"/>
    </xf>
    <xf numFmtId="0" fontId="44" fillId="5" borderId="13" xfId="0" applyFont="1" applyFill="1" applyBorder="1" applyAlignment="1">
      <alignment horizontal="center" vertical="center" wrapText="1"/>
    </xf>
    <xf numFmtId="0" fontId="24" fillId="5" borderId="13" xfId="0" applyFont="1" applyFill="1" applyBorder="1" applyAlignment="1">
      <alignment horizontal="center" vertical="center" wrapText="1"/>
    </xf>
    <xf numFmtId="0" fontId="24" fillId="5" borderId="13" xfId="0" applyNumberFormat="1" applyFont="1" applyFill="1" applyBorder="1" applyAlignment="1">
      <alignment horizontal="center" vertical="center" wrapText="1"/>
    </xf>
    <xf numFmtId="1" fontId="21" fillId="5" borderId="13" xfId="0" applyNumberFormat="1" applyFont="1" applyFill="1" applyBorder="1" applyAlignment="1">
      <alignment horizontal="center" vertical="center" wrapText="1"/>
    </xf>
    <xf numFmtId="0" fontId="24" fillId="5" borderId="14"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2" borderId="39" xfId="0" applyFont="1" applyFill="1" applyBorder="1" applyAlignment="1">
      <alignment horizontal="left" vertical="center" wrapText="1"/>
    </xf>
    <xf numFmtId="0" fontId="27" fillId="2" borderId="15" xfId="0" applyFont="1" applyFill="1" applyBorder="1" applyAlignment="1">
      <alignment horizontal="center" vertical="center" wrapText="1"/>
    </xf>
    <xf numFmtId="0" fontId="65" fillId="2" borderId="39" xfId="0" applyFont="1" applyFill="1" applyBorder="1" applyAlignment="1">
      <alignment horizontal="center" vertical="center"/>
    </xf>
    <xf numFmtId="0" fontId="5" fillId="0" borderId="15" xfId="0" applyFont="1" applyBorder="1" applyAlignment="1">
      <alignment horizontal="center" vertical="center" wrapText="1"/>
    </xf>
    <xf numFmtId="0" fontId="44" fillId="3" borderId="12" xfId="0" applyFont="1" applyFill="1" applyBorder="1" applyAlignment="1">
      <alignment horizontal="center" vertical="center" wrapText="1"/>
    </xf>
    <xf numFmtId="0" fontId="44" fillId="3" borderId="13" xfId="0" applyFont="1" applyFill="1" applyBorder="1" applyAlignment="1">
      <alignment horizontal="center" vertical="center" wrapText="1"/>
    </xf>
    <xf numFmtId="2" fontId="24" fillId="3" borderId="13" xfId="0" applyNumberFormat="1"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1" fillId="3" borderId="14" xfId="0" applyNumberFormat="1" applyFont="1" applyFill="1" applyBorder="1" applyAlignment="1">
      <alignment horizontal="center" vertical="center" wrapText="1"/>
    </xf>
    <xf numFmtId="0" fontId="24" fillId="3" borderId="13" xfId="0" applyNumberFormat="1" applyFont="1" applyFill="1" applyBorder="1" applyAlignment="1">
      <alignment horizontal="center" vertical="center" wrapText="1"/>
    </xf>
    <xf numFmtId="0" fontId="24" fillId="3" borderId="14" xfId="0" applyFont="1" applyFill="1" applyBorder="1" applyAlignment="1">
      <alignment horizontal="center" vertical="center" wrapText="1"/>
    </xf>
    <xf numFmtId="0" fontId="44" fillId="14" borderId="12" xfId="0" applyFont="1" applyFill="1" applyBorder="1" applyAlignment="1">
      <alignment horizontal="center" vertical="center" wrapText="1"/>
    </xf>
    <xf numFmtId="0" fontId="44" fillId="14" borderId="13" xfId="0" applyFont="1" applyFill="1" applyBorder="1" applyAlignment="1">
      <alignment horizontal="center" vertical="center" wrapText="1"/>
    </xf>
    <xf numFmtId="2" fontId="24" fillId="14" borderId="13" xfId="0" applyNumberFormat="1" applyFont="1" applyFill="1" applyBorder="1" applyAlignment="1">
      <alignment horizontal="center" vertical="center" wrapText="1"/>
    </xf>
    <xf numFmtId="0" fontId="24" fillId="14" borderId="13" xfId="0" applyFont="1" applyFill="1" applyBorder="1" applyAlignment="1">
      <alignment horizontal="center" vertical="center" wrapText="1"/>
    </xf>
    <xf numFmtId="0" fontId="24" fillId="14" borderId="13" xfId="0" applyNumberFormat="1" applyFont="1" applyFill="1" applyBorder="1" applyAlignment="1">
      <alignment horizontal="center" vertical="center" wrapText="1"/>
    </xf>
    <xf numFmtId="2" fontId="21" fillId="14" borderId="14" xfId="0" applyNumberFormat="1" applyFont="1" applyFill="1" applyBorder="1" applyAlignment="1">
      <alignment horizontal="center" vertical="center" wrapText="1"/>
    </xf>
    <xf numFmtId="2" fontId="24" fillId="14" borderId="14" xfId="0" applyNumberFormat="1" applyFont="1" applyFill="1" applyBorder="1" applyAlignment="1">
      <alignment horizontal="center" vertical="center" wrapText="1"/>
    </xf>
    <xf numFmtId="172" fontId="24" fillId="14" borderId="13" xfId="0" applyNumberFormat="1" applyFont="1" applyFill="1" applyBorder="1" applyAlignment="1">
      <alignment horizontal="center" vertical="center" wrapText="1"/>
    </xf>
    <xf numFmtId="0" fontId="3" fillId="0" borderId="15" xfId="0" applyFont="1" applyBorder="1" applyAlignment="1">
      <alignment horizontal="center" vertical="center" wrapText="1"/>
    </xf>
    <xf numFmtId="0" fontId="3" fillId="2" borderId="25" xfId="0" applyFont="1" applyFill="1" applyBorder="1" applyAlignment="1">
      <alignment horizontal="left" vertical="center" wrapText="1"/>
    </xf>
    <xf numFmtId="0" fontId="27" fillId="2" borderId="24" xfId="0" applyFont="1" applyFill="1" applyBorder="1" applyAlignment="1">
      <alignment horizontal="center" vertical="center" wrapText="1"/>
    </xf>
    <xf numFmtId="0" fontId="65" fillId="2" borderId="25" xfId="0" applyFont="1" applyFill="1" applyBorder="1" applyAlignment="1">
      <alignment horizontal="center" vertical="center"/>
    </xf>
    <xf numFmtId="0" fontId="3" fillId="0" borderId="24" xfId="0" applyFont="1" applyBorder="1" applyAlignment="1">
      <alignment horizontal="center" vertical="center" wrapText="1"/>
    </xf>
    <xf numFmtId="0" fontId="0" fillId="15" borderId="56" xfId="0" applyFont="1" applyFill="1" applyBorder="1" applyAlignment="1">
      <alignment horizontal="left" vertical="center"/>
    </xf>
    <xf numFmtId="0" fontId="27" fillId="15" borderId="9" xfId="0" applyFont="1" applyFill="1" applyBorder="1" applyAlignment="1">
      <alignment horizontal="center" vertical="center" wrapText="1"/>
    </xf>
    <xf numFmtId="0" fontId="65" fillId="15" borderId="48" xfId="0" applyFont="1" applyFill="1" applyBorder="1" applyAlignment="1">
      <alignment horizontal="center" vertical="center"/>
    </xf>
    <xf numFmtId="0" fontId="2" fillId="15" borderId="9" xfId="0" applyFont="1" applyFill="1" applyBorder="1" applyAlignment="1">
      <alignment horizontal="center" vertical="center" wrapText="1"/>
    </xf>
    <xf numFmtId="0" fontId="0" fillId="3" borderId="11" xfId="0" applyFont="1" applyFill="1" applyBorder="1" applyAlignment="1">
      <alignment horizontal="left" vertical="center"/>
    </xf>
    <xf numFmtId="0" fontId="27" fillId="3" borderId="15" xfId="0" applyFont="1" applyFill="1" applyBorder="1" applyAlignment="1">
      <alignment horizontal="center" vertical="center" wrapText="1"/>
    </xf>
    <xf numFmtId="0" fontId="2" fillId="3" borderId="15" xfId="0" applyFont="1" applyFill="1" applyBorder="1" applyAlignment="1">
      <alignment horizontal="center" vertical="center" wrapText="1"/>
    </xf>
    <xf numFmtId="1" fontId="24" fillId="14" borderId="13" xfId="0" applyNumberFormat="1" applyFont="1" applyFill="1" applyBorder="1" applyAlignment="1">
      <alignment horizontal="center" vertical="center" wrapText="1"/>
    </xf>
    <xf numFmtId="0" fontId="44" fillId="4" borderId="12" xfId="0" applyFont="1" applyFill="1" applyBorder="1" applyAlignment="1">
      <alignment horizontal="center" vertical="center" wrapText="1"/>
    </xf>
    <xf numFmtId="0" fontId="44" fillId="4" borderId="13" xfId="0" applyFont="1" applyFill="1" applyBorder="1" applyAlignment="1">
      <alignment horizontal="center" vertical="center" wrapText="1"/>
    </xf>
    <xf numFmtId="2" fontId="24" fillId="4" borderId="13" xfId="0" applyNumberFormat="1"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3" xfId="0" applyNumberFormat="1" applyFont="1" applyFill="1" applyBorder="1" applyAlignment="1">
      <alignment horizontal="center" vertical="center" wrapText="1"/>
    </xf>
    <xf numFmtId="0" fontId="50" fillId="4" borderId="14" xfId="0" applyNumberFormat="1" applyFont="1" applyFill="1" applyBorder="1" applyAlignment="1">
      <alignment horizontal="center" vertical="center" wrapText="1"/>
    </xf>
    <xf numFmtId="0" fontId="0" fillId="14" borderId="11" xfId="0" applyFont="1" applyFill="1" applyBorder="1" applyAlignment="1">
      <alignment horizontal="left" vertical="center"/>
    </xf>
    <xf numFmtId="0" fontId="27" fillId="14" borderId="15" xfId="0" applyFont="1" applyFill="1" applyBorder="1" applyAlignment="1">
      <alignment horizontal="center" vertical="center" wrapText="1"/>
    </xf>
    <xf numFmtId="0" fontId="65" fillId="14" borderId="39" xfId="0" applyFont="1" applyFill="1" applyBorder="1" applyAlignment="1">
      <alignment horizontal="center" vertical="center"/>
    </xf>
    <xf numFmtId="0" fontId="2" fillId="14" borderId="15" xfId="0" applyFont="1" applyFill="1" applyBorder="1" applyAlignment="1">
      <alignment horizontal="center" vertical="center" wrapText="1"/>
    </xf>
    <xf numFmtId="0" fontId="44" fillId="4" borderId="17" xfId="0" applyFont="1" applyFill="1" applyBorder="1" applyAlignment="1">
      <alignment horizontal="center" vertical="center" wrapText="1"/>
    </xf>
    <xf numFmtId="0" fontId="44" fillId="4" borderId="18"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1" fillId="4" borderId="18" xfId="0" applyNumberFormat="1" applyFont="1" applyFill="1" applyBorder="1" applyAlignment="1">
      <alignment horizontal="center" vertical="center" wrapText="1"/>
    </xf>
    <xf numFmtId="172" fontId="21" fillId="4" borderId="18" xfId="0" applyNumberFormat="1" applyFont="1" applyFill="1" applyBorder="1" applyAlignment="1">
      <alignment horizontal="center" vertical="center" wrapText="1"/>
    </xf>
    <xf numFmtId="0" fontId="24" fillId="4" borderId="18" xfId="0" applyNumberFormat="1" applyFont="1" applyFill="1" applyBorder="1" applyAlignment="1">
      <alignment horizontal="center" vertical="center" wrapText="1"/>
    </xf>
    <xf numFmtId="0" fontId="21" fillId="4" borderId="19" xfId="0" applyNumberFormat="1" applyFont="1" applyFill="1" applyBorder="1" applyAlignment="1">
      <alignment horizontal="center" vertical="center" wrapText="1"/>
    </xf>
    <xf numFmtId="0" fontId="44" fillId="6" borderId="20" xfId="0" applyFont="1" applyFill="1" applyBorder="1" applyAlignment="1">
      <alignment horizontal="center" vertical="center" wrapText="1"/>
    </xf>
    <xf numFmtId="0" fontId="24" fillId="6" borderId="6" xfId="0" applyFont="1" applyFill="1" applyBorder="1" applyAlignment="1">
      <alignment horizontal="center" vertical="center" wrapText="1"/>
    </xf>
    <xf numFmtId="0" fontId="21" fillId="6" borderId="6" xfId="0" applyNumberFormat="1" applyFont="1" applyFill="1" applyBorder="1" applyAlignment="1">
      <alignment horizontal="center" vertical="center" wrapText="1"/>
    </xf>
    <xf numFmtId="0" fontId="24" fillId="6" borderId="2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24" fillId="6" borderId="22"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24" fillId="6" borderId="18"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14" borderId="14" xfId="0" applyFont="1" applyFill="1" applyBorder="1" applyAlignment="1">
      <alignment horizontal="left" vertical="center"/>
    </xf>
    <xf numFmtId="0" fontId="19" fillId="14" borderId="15" xfId="0" applyFont="1" applyFill="1" applyBorder="1" applyAlignment="1">
      <alignment horizontal="center" vertical="center" wrapText="1"/>
    </xf>
    <xf numFmtId="0" fontId="0" fillId="4" borderId="14" xfId="0" applyFont="1" applyFill="1" applyBorder="1" applyAlignment="1">
      <alignment horizontal="left" vertical="center"/>
    </xf>
    <xf numFmtId="0" fontId="27" fillId="4" borderId="15" xfId="0" applyFont="1" applyFill="1" applyBorder="1" applyAlignment="1">
      <alignment horizontal="center" vertical="center" wrapText="1"/>
    </xf>
    <xf numFmtId="0" fontId="65" fillId="4" borderId="39" xfId="0" applyFont="1" applyFill="1" applyBorder="1" applyAlignment="1">
      <alignment horizontal="center" vertical="center"/>
    </xf>
    <xf numFmtId="0" fontId="2" fillId="4" borderId="15" xfId="0" applyFont="1" applyFill="1" applyBorder="1" applyAlignment="1">
      <alignment horizontal="center" vertical="center" wrapText="1"/>
    </xf>
    <xf numFmtId="0" fontId="24" fillId="5" borderId="14" xfId="0" applyNumberFormat="1" applyFont="1" applyFill="1" applyBorder="1" applyAlignment="1" quotePrefix="1">
      <alignment horizontal="center" vertical="center" wrapText="1"/>
    </xf>
    <xf numFmtId="0" fontId="0" fillId="8" borderId="14" xfId="0" applyFont="1" applyFill="1" applyBorder="1" applyAlignment="1">
      <alignment horizontal="left" vertical="center"/>
    </xf>
    <xf numFmtId="0" fontId="27" fillId="8" borderId="15" xfId="0" applyFont="1" applyFill="1" applyBorder="1" applyAlignment="1">
      <alignment horizontal="center" vertical="center" wrapText="1"/>
    </xf>
    <xf numFmtId="0" fontId="65" fillId="8" borderId="39" xfId="0" applyFont="1" applyFill="1" applyBorder="1" applyAlignment="1">
      <alignment horizontal="center" vertical="center"/>
    </xf>
    <xf numFmtId="0" fontId="2" fillId="8" borderId="15" xfId="0" applyFont="1" applyFill="1" applyBorder="1" applyAlignment="1">
      <alignment horizontal="center" vertical="center" wrapText="1"/>
    </xf>
    <xf numFmtId="0" fontId="0" fillId="16" borderId="14" xfId="0" applyFont="1" applyFill="1" applyBorder="1" applyAlignment="1">
      <alignment horizontal="left" vertical="center"/>
    </xf>
    <xf numFmtId="0" fontId="27" fillId="16" borderId="15" xfId="0" applyFont="1" applyFill="1" applyBorder="1" applyAlignment="1">
      <alignment horizontal="center" vertical="center" wrapText="1"/>
    </xf>
    <xf numFmtId="0" fontId="65" fillId="16" borderId="39" xfId="0" applyFont="1" applyFill="1" applyBorder="1" applyAlignment="1">
      <alignment horizontal="center" vertical="center"/>
    </xf>
    <xf numFmtId="0" fontId="2" fillId="16" borderId="15" xfId="0" applyFont="1" applyFill="1" applyBorder="1" applyAlignment="1">
      <alignment horizontal="center" vertical="center" wrapText="1"/>
    </xf>
    <xf numFmtId="0" fontId="0" fillId="17" borderId="14" xfId="0" applyFont="1" applyFill="1" applyBorder="1" applyAlignment="1">
      <alignment horizontal="left" vertical="center"/>
    </xf>
    <xf numFmtId="0" fontId="27" fillId="17" borderId="15" xfId="0" applyFont="1" applyFill="1" applyBorder="1" applyAlignment="1">
      <alignment horizontal="center" vertical="center" wrapText="1"/>
    </xf>
    <xf numFmtId="0" fontId="65" fillId="17" borderId="39" xfId="0" applyFont="1" applyFill="1" applyBorder="1" applyAlignment="1">
      <alignment horizontal="center" vertical="center"/>
    </xf>
    <xf numFmtId="0" fontId="2" fillId="17" borderId="15" xfId="0" applyFont="1" applyFill="1" applyBorder="1" applyAlignment="1">
      <alignment horizontal="center" vertical="center" wrapText="1"/>
    </xf>
    <xf numFmtId="0" fontId="27" fillId="18" borderId="15" xfId="0" applyFont="1" applyFill="1" applyBorder="1" applyAlignment="1">
      <alignment horizontal="center" vertical="center" wrapText="1"/>
    </xf>
    <xf numFmtId="0" fontId="2" fillId="18" borderId="15" xfId="0" applyFont="1" applyFill="1" applyBorder="1" applyAlignment="1">
      <alignment horizontal="center" vertical="center" wrapText="1"/>
    </xf>
    <xf numFmtId="0" fontId="0" fillId="18" borderId="14" xfId="0" applyFont="1" applyFill="1" applyBorder="1" applyAlignment="1">
      <alignment horizontal="left" vertical="center"/>
    </xf>
    <xf numFmtId="0" fontId="2" fillId="18" borderId="15" xfId="0" applyFont="1" applyFill="1" applyBorder="1" applyAlignment="1">
      <alignment horizontal="center" vertical="center"/>
    </xf>
    <xf numFmtId="0" fontId="5" fillId="6" borderId="14" xfId="0" applyFont="1" applyFill="1" applyBorder="1" applyAlignment="1">
      <alignment horizontal="left" vertical="center"/>
    </xf>
    <xf numFmtId="0" fontId="37" fillId="6" borderId="9" xfId="0" applyFont="1" applyFill="1" applyBorder="1" applyAlignment="1">
      <alignment horizontal="center" vertical="center"/>
    </xf>
    <xf numFmtId="174" fontId="5" fillId="6" borderId="15" xfId="0" applyNumberFormat="1" applyFont="1" applyFill="1" applyBorder="1" applyAlignment="1">
      <alignment horizontal="center" vertical="center" wrapText="1"/>
    </xf>
    <xf numFmtId="0" fontId="5" fillId="6" borderId="25" xfId="0" applyFont="1" applyFill="1" applyBorder="1" applyAlignment="1">
      <alignment horizontal="left" vertical="center"/>
    </xf>
    <xf numFmtId="174" fontId="5" fillId="6" borderId="24" xfId="0" applyNumberFormat="1" applyFont="1" applyFill="1" applyBorder="1" applyAlignment="1">
      <alignment horizontal="center" vertical="center" wrapText="1"/>
    </xf>
    <xf numFmtId="0" fontId="0" fillId="15" borderId="0" xfId="0" applyFont="1" applyFill="1" applyBorder="1" applyAlignment="1">
      <alignment horizontal="left" vertical="center"/>
    </xf>
    <xf numFmtId="0" fontId="65" fillId="15" borderId="37" xfId="0" applyFont="1" applyFill="1" applyBorder="1" applyAlignment="1">
      <alignment horizontal="center" vertical="center"/>
    </xf>
    <xf numFmtId="0" fontId="2" fillId="15" borderId="29" xfId="0" applyFont="1" applyFill="1" applyBorder="1" applyAlignment="1">
      <alignment horizontal="center" vertical="center"/>
    </xf>
    <xf numFmtId="0" fontId="27" fillId="15" borderId="15" xfId="0" applyFont="1" applyFill="1" applyBorder="1" applyAlignment="1">
      <alignment horizontal="center" vertical="center" wrapText="1"/>
    </xf>
    <xf numFmtId="0" fontId="65" fillId="15" borderId="39" xfId="0" applyFont="1" applyFill="1" applyBorder="1" applyAlignment="1">
      <alignment horizontal="center" vertical="center"/>
    </xf>
    <xf numFmtId="0" fontId="2" fillId="15" borderId="15" xfId="0" applyFont="1" applyFill="1" applyBorder="1" applyAlignment="1">
      <alignment horizontal="center" vertical="center" wrapText="1"/>
    </xf>
    <xf numFmtId="0" fontId="0" fillId="15" borderId="14" xfId="0" applyFont="1" applyFill="1" applyBorder="1" applyAlignment="1">
      <alignment vertical="center"/>
    </xf>
    <xf numFmtId="0" fontId="50" fillId="15" borderId="15" xfId="0" applyFont="1" applyFill="1" applyBorder="1" applyAlignment="1">
      <alignment horizontal="center" vertical="center" wrapText="1"/>
    </xf>
    <xf numFmtId="0" fontId="2" fillId="15" borderId="15" xfId="0" applyFont="1" applyFill="1" applyBorder="1" applyAlignment="1">
      <alignment horizontal="center" vertical="center"/>
    </xf>
    <xf numFmtId="0" fontId="65" fillId="3" borderId="39" xfId="0" applyFont="1" applyFill="1" applyBorder="1" applyAlignment="1">
      <alignment horizontal="center" vertical="center"/>
    </xf>
    <xf numFmtId="0" fontId="50" fillId="3" borderId="15" xfId="0" applyFont="1" applyFill="1" applyBorder="1" applyAlignment="1">
      <alignment horizontal="center" vertical="center" wrapText="1"/>
    </xf>
    <xf numFmtId="0" fontId="3" fillId="0" borderId="0" xfId="0" applyFont="1" applyFill="1" applyAlignment="1">
      <alignment horizontal="center" vertical="center" wrapText="1"/>
    </xf>
    <xf numFmtId="0" fontId="44" fillId="0" borderId="2"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42" xfId="0" applyFont="1" applyFill="1" applyBorder="1" applyAlignment="1">
      <alignment horizontal="center" vertical="center" wrapText="1"/>
    </xf>
    <xf numFmtId="0" fontId="65" fillId="3" borderId="46" xfId="0" applyFont="1" applyFill="1" applyBorder="1" applyAlignment="1">
      <alignment horizontal="center" vertical="center"/>
    </xf>
    <xf numFmtId="0" fontId="21" fillId="0" borderId="10"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5" fillId="0" borderId="0" xfId="0" applyFont="1" applyAlignment="1">
      <alignment horizontal="center" vertical="center" wrapText="1"/>
    </xf>
    <xf numFmtId="0" fontId="21" fillId="0" borderId="15"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65" fillId="3" borderId="48" xfId="0" applyFont="1" applyFill="1" applyBorder="1" applyAlignment="1">
      <alignment horizontal="center" vertical="center"/>
    </xf>
    <xf numFmtId="0" fontId="2" fillId="3" borderId="9" xfId="0" applyFont="1" applyFill="1" applyBorder="1" applyAlignment="1">
      <alignment horizontal="center" vertical="center"/>
    </xf>
    <xf numFmtId="0" fontId="65" fillId="14" borderId="48" xfId="0" applyFont="1" applyFill="1" applyBorder="1" applyAlignment="1">
      <alignment horizontal="center" vertical="center"/>
    </xf>
    <xf numFmtId="172" fontId="5" fillId="0" borderId="0" xfId="0" applyNumberFormat="1" applyFont="1" applyFill="1" applyBorder="1" applyAlignment="1">
      <alignment horizontal="center" vertical="center" wrapText="1"/>
    </xf>
    <xf numFmtId="17"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21" fillId="0" borderId="24"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0" fillId="14" borderId="26" xfId="0" applyFont="1" applyFill="1" applyBorder="1" applyAlignment="1">
      <alignment vertical="center"/>
    </xf>
    <xf numFmtId="0" fontId="24" fillId="0" borderId="2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24" fillId="0" borderId="13" xfId="0" applyFont="1" applyFill="1" applyBorder="1" applyAlignment="1">
      <alignment horizontal="center" vertical="center" wrapText="1"/>
    </xf>
    <xf numFmtId="1" fontId="24" fillId="0" borderId="13" xfId="0" applyNumberFormat="1" applyFont="1" applyFill="1" applyBorder="1" applyAlignment="1">
      <alignment horizontal="center" vertical="center" wrapText="1"/>
    </xf>
    <xf numFmtId="172" fontId="24" fillId="0" borderId="13" xfId="0" applyNumberFormat="1" applyFont="1" applyFill="1" applyBorder="1" applyAlignment="1">
      <alignment horizontal="center" vertical="center" wrapText="1"/>
    </xf>
    <xf numFmtId="0" fontId="24" fillId="0" borderId="22" xfId="0" applyFont="1" applyFill="1" applyBorder="1" applyAlignment="1">
      <alignment horizontal="center" vertical="center" wrapText="1"/>
    </xf>
    <xf numFmtId="173" fontId="3" fillId="0" borderId="37" xfId="0" applyNumberFormat="1" applyFont="1" applyFill="1" applyBorder="1" applyAlignment="1">
      <alignment horizontal="center" vertical="center" wrapText="1"/>
    </xf>
    <xf numFmtId="173" fontId="3" fillId="0" borderId="10" xfId="0" applyNumberFormat="1" applyFont="1" applyFill="1" applyBorder="1" applyAlignment="1">
      <alignment horizontal="center" vertical="center" wrapText="1"/>
    </xf>
    <xf numFmtId="173" fontId="3" fillId="0" borderId="35" xfId="0" applyNumberFormat="1" applyFont="1" applyFill="1" applyBorder="1" applyAlignment="1">
      <alignment horizontal="center" vertical="center" wrapText="1"/>
    </xf>
    <xf numFmtId="173" fontId="3" fillId="0" borderId="38" xfId="0" applyNumberFormat="1" applyFont="1" applyFill="1" applyBorder="1" applyAlignment="1">
      <alignment horizontal="center" vertical="center" wrapText="1"/>
    </xf>
    <xf numFmtId="173" fontId="3" fillId="0" borderId="39" xfId="0" applyNumberFormat="1" applyFont="1" applyFill="1" applyBorder="1" applyAlignment="1">
      <alignment horizontal="center" vertical="center" wrapText="1"/>
    </xf>
    <xf numFmtId="173" fontId="3" fillId="0" borderId="15" xfId="0" applyNumberFormat="1" applyFont="1" applyFill="1" applyBorder="1" applyAlignment="1">
      <alignment horizontal="center" vertical="center" wrapText="1"/>
    </xf>
    <xf numFmtId="173" fontId="3" fillId="0" borderId="11" xfId="0" applyNumberFormat="1" applyFont="1" applyFill="1" applyBorder="1" applyAlignment="1">
      <alignment horizontal="center" vertical="center" wrapText="1"/>
    </xf>
    <xf numFmtId="173" fontId="3" fillId="0" borderId="30" xfId="0" applyNumberFormat="1" applyFont="1" applyFill="1" applyBorder="1" applyAlignment="1">
      <alignment horizontal="center" vertical="center" wrapText="1"/>
    </xf>
    <xf numFmtId="0" fontId="0" fillId="14" borderId="13" xfId="0" applyFont="1" applyFill="1" applyBorder="1" applyAlignment="1">
      <alignment vertical="center"/>
    </xf>
    <xf numFmtId="2" fontId="24" fillId="0" borderId="13" xfId="0" applyNumberFormat="1" applyFont="1" applyFill="1" applyBorder="1" applyAlignment="1">
      <alignment horizontal="center" vertical="center" wrapText="1"/>
    </xf>
    <xf numFmtId="0" fontId="0" fillId="14" borderId="56" xfId="0" applyFont="1" applyFill="1" applyBorder="1" applyAlignment="1">
      <alignment vertical="center"/>
    </xf>
    <xf numFmtId="0" fontId="50" fillId="14" borderId="9" xfId="0" applyFont="1" applyFill="1" applyBorder="1" applyAlignment="1">
      <alignment horizontal="center" vertical="center"/>
    </xf>
    <xf numFmtId="2" fontId="24" fillId="0" borderId="22" xfId="0" applyNumberFormat="1" applyFont="1" applyFill="1" applyBorder="1" applyAlignment="1">
      <alignment horizontal="center" vertical="center" wrapText="1"/>
    </xf>
    <xf numFmtId="0" fontId="65" fillId="4" borderId="48" xfId="0" applyFont="1" applyFill="1" applyBorder="1" applyAlignment="1">
      <alignment horizontal="center" vertical="center"/>
    </xf>
    <xf numFmtId="0" fontId="65" fillId="4" borderId="46" xfId="0" applyFont="1" applyFill="1" applyBorder="1" applyAlignment="1">
      <alignment horizontal="center" vertical="center"/>
    </xf>
    <xf numFmtId="0" fontId="50" fillId="4" borderId="9" xfId="0" applyFont="1" applyFill="1" applyBorder="1" applyAlignment="1">
      <alignment horizontal="center" vertical="center"/>
    </xf>
    <xf numFmtId="0" fontId="50" fillId="4" borderId="15" xfId="0" applyFont="1" applyFill="1" applyBorder="1" applyAlignment="1">
      <alignment horizontal="center" vertical="center"/>
    </xf>
    <xf numFmtId="0" fontId="44" fillId="0" borderId="17"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24" fillId="0" borderId="18" xfId="0" applyFont="1" applyFill="1" applyBorder="1" applyAlignment="1">
      <alignment horizontal="center" vertical="center" wrapText="1"/>
    </xf>
    <xf numFmtId="172" fontId="24" fillId="0" borderId="18" xfId="0" applyNumberFormat="1" applyFont="1" applyFill="1" applyBorder="1" applyAlignment="1">
      <alignment horizontal="center" vertical="center" wrapText="1"/>
    </xf>
    <xf numFmtId="0" fontId="24" fillId="0" borderId="23" xfId="0" applyFont="1" applyFill="1" applyBorder="1" applyAlignment="1">
      <alignment horizontal="center" vertical="center" wrapText="1"/>
    </xf>
    <xf numFmtId="173" fontId="3" fillId="0" borderId="25" xfId="0" applyNumberFormat="1" applyFont="1" applyFill="1" applyBorder="1" applyAlignment="1">
      <alignment horizontal="center" vertical="center" wrapText="1"/>
    </xf>
    <xf numFmtId="173" fontId="3" fillId="0" borderId="24" xfId="0" applyNumberFormat="1" applyFont="1" applyFill="1" applyBorder="1" applyAlignment="1">
      <alignment horizontal="center" vertical="center" wrapText="1"/>
    </xf>
    <xf numFmtId="173" fontId="3" fillId="0" borderId="36" xfId="0" applyNumberFormat="1" applyFont="1" applyFill="1" applyBorder="1" applyAlignment="1">
      <alignment horizontal="center" vertical="center" wrapText="1"/>
    </xf>
    <xf numFmtId="173" fontId="3" fillId="0" borderId="27" xfId="0" applyNumberFormat="1" applyFont="1" applyFill="1" applyBorder="1" applyAlignment="1">
      <alignment horizontal="center" vertical="center" wrapText="1"/>
    </xf>
    <xf numFmtId="0" fontId="50" fillId="4" borderId="24" xfId="0" applyFont="1" applyFill="1" applyBorder="1" applyAlignment="1">
      <alignment horizontal="center" vertical="center"/>
    </xf>
    <xf numFmtId="0" fontId="65" fillId="4" borderId="25" xfId="0" applyFont="1" applyFill="1" applyBorder="1" applyAlignment="1">
      <alignment horizontal="center" vertical="center"/>
    </xf>
    <xf numFmtId="0" fontId="12" fillId="0" borderId="2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3" fillId="11"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12" borderId="13"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9" borderId="18" xfId="0" applyFont="1" applyFill="1" applyBorder="1" applyAlignment="1">
      <alignment horizontal="center" vertical="center" wrapText="1"/>
    </xf>
    <xf numFmtId="0" fontId="3"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6" xfId="0" applyFont="1" applyBorder="1" applyAlignment="1">
      <alignment horizontal="center" vertical="center" wrapText="1"/>
    </xf>
    <xf numFmtId="0" fontId="23" fillId="0" borderId="6" xfId="0" applyNumberFormat="1" applyFont="1" applyBorder="1" applyAlignment="1">
      <alignment horizontal="center" vertical="center" wrapText="1"/>
    </xf>
    <xf numFmtId="0" fontId="23" fillId="0" borderId="52" xfId="0" applyNumberFormat="1" applyFont="1" applyBorder="1" applyAlignment="1">
      <alignment horizontal="center" vertical="center" wrapText="1"/>
    </xf>
    <xf numFmtId="0" fontId="3" fillId="2" borderId="35" xfId="0" applyFont="1" applyFill="1" applyBorder="1" applyAlignment="1">
      <alignment vertical="center"/>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2" fontId="29" fillId="3" borderId="13" xfId="0" applyNumberFormat="1" applyFont="1" applyFill="1" applyBorder="1" applyAlignment="1">
      <alignment horizontal="center" vertical="center" wrapText="1"/>
    </xf>
    <xf numFmtId="0" fontId="3" fillId="2" borderId="11" xfId="0" applyFont="1" applyFill="1" applyBorder="1" applyAlignment="1">
      <alignment vertical="center"/>
    </xf>
    <xf numFmtId="2" fontId="24" fillId="3" borderId="13" xfId="0" applyNumberFormat="1" applyFont="1" applyFill="1" applyBorder="1" applyAlignment="1" quotePrefix="1">
      <alignment horizontal="center" vertical="center" wrapText="1"/>
    </xf>
    <xf numFmtId="2" fontId="29" fillId="3" borderId="14" xfId="0" applyNumberFormat="1" applyFont="1" applyFill="1" applyBorder="1" applyAlignment="1">
      <alignment horizontal="center" vertical="center" wrapText="1"/>
    </xf>
    <xf numFmtId="0" fontId="29" fillId="3" borderId="13"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29" fillId="5" borderId="13" xfId="0" applyFont="1" applyFill="1" applyBorder="1" applyAlignment="1">
      <alignment horizontal="center" vertical="center" wrapText="1"/>
    </xf>
    <xf numFmtId="0" fontId="29" fillId="5" borderId="14" xfId="0" applyNumberFormat="1"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2" fontId="29" fillId="4" borderId="13" xfId="0" applyNumberFormat="1" applyFont="1" applyFill="1" applyBorder="1" applyAlignment="1">
      <alignment horizontal="center" vertical="center" wrapText="1"/>
    </xf>
    <xf numFmtId="0" fontId="29" fillId="4" borderId="13" xfId="0" applyFont="1" applyFill="1" applyBorder="1" applyAlignment="1">
      <alignment horizontal="center" vertical="center" wrapText="1"/>
    </xf>
    <xf numFmtId="0" fontId="10" fillId="14" borderId="12" xfId="0" applyFont="1" applyFill="1" applyBorder="1" applyAlignment="1">
      <alignment horizontal="center" vertical="center" wrapText="1"/>
    </xf>
    <xf numFmtId="0" fontId="10" fillId="14" borderId="13" xfId="0" applyFont="1" applyFill="1" applyBorder="1" applyAlignment="1">
      <alignment horizontal="center" vertical="center" wrapText="1"/>
    </xf>
    <xf numFmtId="2" fontId="29" fillId="14" borderId="13" xfId="0" applyNumberFormat="1" applyFont="1" applyFill="1" applyBorder="1" applyAlignment="1">
      <alignment horizontal="center" vertical="center" wrapText="1"/>
    </xf>
    <xf numFmtId="0" fontId="29" fillId="14" borderId="14" xfId="0" applyFont="1" applyFill="1" applyBorder="1" applyAlignment="1">
      <alignment horizontal="center" vertical="center" wrapText="1"/>
    </xf>
    <xf numFmtId="0" fontId="2" fillId="2" borderId="32" xfId="0" applyFont="1" applyFill="1" applyBorder="1" applyAlignment="1">
      <alignment horizontal="center" vertical="center"/>
    </xf>
    <xf numFmtId="2" fontId="24" fillId="14" borderId="13" xfId="0" applyNumberFormat="1" applyFont="1" applyFill="1" applyBorder="1" applyAlignment="1" quotePrefix="1">
      <alignment horizontal="center" vertical="center" wrapText="1"/>
    </xf>
    <xf numFmtId="0" fontId="0" fillId="15" borderId="49" xfId="0" applyFont="1" applyFill="1" applyBorder="1" applyAlignment="1">
      <alignment vertical="center"/>
    </xf>
    <xf numFmtId="0" fontId="27" fillId="15" borderId="56" xfId="0" applyFont="1" applyFill="1" applyBorder="1" applyAlignment="1">
      <alignment horizontal="center" vertical="center"/>
    </xf>
    <xf numFmtId="0" fontId="2" fillId="15" borderId="10" xfId="0" applyFont="1" applyFill="1" applyBorder="1" applyAlignment="1">
      <alignment horizontal="center" vertical="center"/>
    </xf>
    <xf numFmtId="0" fontId="27" fillId="15" borderId="14" xfId="0" applyFont="1" applyFill="1" applyBorder="1" applyAlignment="1">
      <alignment horizontal="center" vertical="center"/>
    </xf>
    <xf numFmtId="0" fontId="27" fillId="3" borderId="14" xfId="0" applyFont="1" applyFill="1" applyBorder="1" applyAlignment="1">
      <alignment horizontal="center" vertical="center"/>
    </xf>
    <xf numFmtId="0" fontId="29" fillId="14" borderId="13" xfId="0" applyNumberFormat="1" applyFont="1" applyFill="1" applyBorder="1" applyAlignment="1">
      <alignment horizontal="center" vertical="center" wrapText="1"/>
    </xf>
    <xf numFmtId="0" fontId="27" fillId="14" borderId="13" xfId="0" applyNumberFormat="1" applyFont="1" applyFill="1" applyBorder="1" applyAlignment="1">
      <alignment horizontal="center" vertical="center" wrapText="1"/>
    </xf>
    <xf numFmtId="0" fontId="29" fillId="14" borderId="13" xfId="0" applyFont="1" applyFill="1" applyBorder="1" applyAlignment="1">
      <alignment horizontal="center" vertical="center" wrapText="1"/>
    </xf>
    <xf numFmtId="0" fontId="19" fillId="14" borderId="13" xfId="0" applyFont="1" applyFill="1" applyBorder="1" applyAlignment="1">
      <alignment horizontal="center" vertical="center" wrapText="1"/>
    </xf>
    <xf numFmtId="0" fontId="27" fillId="14" borderId="14" xfId="0" applyFont="1" applyFill="1" applyBorder="1" applyAlignment="1">
      <alignment horizontal="center" vertical="center"/>
    </xf>
    <xf numFmtId="0" fontId="0" fillId="4" borderId="13" xfId="0" applyFont="1" applyFill="1" applyBorder="1" applyAlignment="1">
      <alignment vertical="center"/>
    </xf>
    <xf numFmtId="0" fontId="27" fillId="4" borderId="14" xfId="0" applyFont="1" applyFill="1" applyBorder="1" applyAlignment="1">
      <alignment horizontal="center" vertical="center"/>
    </xf>
    <xf numFmtId="0" fontId="10" fillId="14" borderId="17" xfId="0" applyFont="1" applyFill="1" applyBorder="1" applyAlignment="1">
      <alignment horizontal="center" vertical="center" wrapText="1"/>
    </xf>
    <xf numFmtId="0" fontId="10" fillId="14" borderId="18" xfId="0" applyFont="1" applyFill="1" applyBorder="1" applyAlignment="1">
      <alignment horizontal="center" vertical="center" wrapText="1"/>
    </xf>
    <xf numFmtId="0" fontId="24" fillId="14" borderId="18" xfId="0" applyFont="1" applyFill="1" applyBorder="1" applyAlignment="1">
      <alignment horizontal="center" vertical="center" wrapText="1"/>
    </xf>
    <xf numFmtId="0" fontId="21" fillId="14" borderId="18" xfId="0" applyNumberFormat="1" applyFont="1" applyFill="1" applyBorder="1" applyAlignment="1">
      <alignment horizontal="center" vertical="center" wrapText="1"/>
    </xf>
    <xf numFmtId="0" fontId="24" fillId="14" borderId="18" xfId="0" applyNumberFormat="1" applyFont="1" applyFill="1" applyBorder="1" applyAlignment="1">
      <alignment horizontal="center" vertical="center" wrapText="1"/>
    </xf>
    <xf numFmtId="0" fontId="29" fillId="14" borderId="18" xfId="0" applyFont="1" applyFill="1" applyBorder="1" applyAlignment="1">
      <alignment horizontal="center" vertical="center" wrapText="1"/>
    </xf>
    <xf numFmtId="0" fontId="29" fillId="14" borderId="19" xfId="0" applyNumberFormat="1" applyFont="1" applyFill="1" applyBorder="1" applyAlignment="1">
      <alignment horizontal="center" vertical="center" wrapText="1"/>
    </xf>
    <xf numFmtId="0" fontId="0" fillId="8" borderId="13" xfId="0" applyFont="1" applyFill="1" applyBorder="1" applyAlignment="1">
      <alignment vertical="center"/>
    </xf>
    <xf numFmtId="0" fontId="27" fillId="8" borderId="14" xfId="0" applyFont="1" applyFill="1" applyBorder="1" applyAlignment="1">
      <alignment horizontal="center" vertical="center"/>
    </xf>
    <xf numFmtId="0" fontId="69" fillId="8" borderId="30" xfId="0" applyFont="1" applyFill="1" applyBorder="1" applyAlignment="1">
      <alignment horizontal="center" vertical="center"/>
    </xf>
    <xf numFmtId="0" fontId="0" fillId="8" borderId="14" xfId="0" applyFont="1" applyFill="1" applyBorder="1" applyAlignment="1">
      <alignment vertical="center"/>
    </xf>
    <xf numFmtId="0" fontId="10" fillId="6" borderId="20" xfId="0" applyFont="1" applyFill="1" applyBorder="1" applyAlignment="1">
      <alignment horizontal="center" vertical="center" wrapText="1"/>
    </xf>
    <xf numFmtId="2" fontId="21" fillId="6" borderId="6" xfId="0" applyNumberFormat="1"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0" fillId="16" borderId="14" xfId="0" applyFont="1" applyFill="1" applyBorder="1" applyAlignment="1">
      <alignment vertical="center"/>
    </xf>
    <xf numFmtId="0" fontId="27" fillId="16" borderId="14" xfId="0" applyFont="1" applyFill="1" applyBorder="1" applyAlignment="1">
      <alignment horizontal="center" vertical="center"/>
    </xf>
    <xf numFmtId="2" fontId="38" fillId="3" borderId="13" xfId="0" applyNumberFormat="1" applyFont="1" applyFill="1" applyBorder="1" applyAlignment="1">
      <alignment horizontal="center" vertical="center" wrapText="1"/>
    </xf>
    <xf numFmtId="0" fontId="38" fillId="3" borderId="14" xfId="0" applyFont="1" applyFill="1" applyBorder="1" applyAlignment="1">
      <alignment horizontal="center" vertical="center" wrapText="1"/>
    </xf>
    <xf numFmtId="0" fontId="0" fillId="17" borderId="14" xfId="0" applyFont="1" applyFill="1" applyBorder="1" applyAlignment="1">
      <alignment vertical="center"/>
    </xf>
    <xf numFmtId="0" fontId="27" fillId="17" borderId="14" xfId="0" applyFont="1" applyFill="1" applyBorder="1" applyAlignment="1">
      <alignment horizontal="center" vertical="center"/>
    </xf>
    <xf numFmtId="0" fontId="27" fillId="6" borderId="11" xfId="0" applyFont="1" applyFill="1" applyBorder="1" applyAlignment="1">
      <alignment horizontal="center" vertical="center"/>
    </xf>
    <xf numFmtId="172" fontId="37" fillId="6" borderId="30" xfId="0" applyNumberFormat="1" applyFont="1" applyFill="1" applyBorder="1" applyAlignment="1">
      <alignment horizontal="center" vertical="center"/>
    </xf>
    <xf numFmtId="0" fontId="37" fillId="6" borderId="33" xfId="0" applyFont="1" applyFill="1" applyBorder="1" applyAlignment="1">
      <alignment horizontal="center" vertical="center"/>
    </xf>
    <xf numFmtId="0" fontId="23" fillId="6" borderId="24" xfId="0" applyFont="1" applyFill="1" applyBorder="1" applyAlignment="1">
      <alignment horizontal="center" vertical="center"/>
    </xf>
    <xf numFmtId="0" fontId="23" fillId="6" borderId="36" xfId="0" applyFont="1" applyFill="1" applyBorder="1" applyAlignment="1">
      <alignment horizontal="center" vertical="center"/>
    </xf>
    <xf numFmtId="0" fontId="71" fillId="6" borderId="24" xfId="0" applyFont="1" applyFill="1" applyBorder="1" applyAlignment="1">
      <alignment horizontal="center" vertical="center"/>
    </xf>
    <xf numFmtId="0" fontId="42" fillId="6" borderId="27" xfId="0" applyFont="1" applyFill="1" applyBorder="1" applyAlignment="1">
      <alignment horizontal="center" vertical="center"/>
    </xf>
    <xf numFmtId="0" fontId="0" fillId="15" borderId="43" xfId="0" applyFont="1" applyFill="1" applyBorder="1" applyAlignment="1">
      <alignment vertical="center"/>
    </xf>
    <xf numFmtId="0" fontId="3" fillId="0" borderId="0" xfId="0" applyFont="1" applyFill="1" applyBorder="1" applyAlignment="1">
      <alignment horizontal="left" vertical="center" wrapText="1"/>
    </xf>
    <xf numFmtId="0" fontId="0" fillId="7" borderId="47" xfId="0" applyFont="1" applyFill="1" applyBorder="1" applyAlignment="1">
      <alignment vertical="center"/>
    </xf>
    <xf numFmtId="0" fontId="27" fillId="7" borderId="9" xfId="0" applyFont="1" applyFill="1" applyBorder="1" applyAlignment="1">
      <alignment horizontal="center" vertical="center"/>
    </xf>
    <xf numFmtId="0" fontId="27" fillId="7" borderId="56" xfId="0" applyFont="1" applyFill="1" applyBorder="1" applyAlignment="1">
      <alignment horizontal="center" vertical="center"/>
    </xf>
    <xf numFmtId="0" fontId="2" fillId="7" borderId="34" xfId="0" applyFont="1" applyFill="1" applyBorder="1" applyAlignment="1">
      <alignment horizontal="center" vertical="center"/>
    </xf>
    <xf numFmtId="0" fontId="27" fillId="3" borderId="57" xfId="0" applyFont="1" applyFill="1" applyBorder="1" applyAlignment="1">
      <alignment horizontal="center" vertical="center"/>
    </xf>
    <xf numFmtId="0" fontId="27" fillId="3" borderId="56" xfId="0" applyFont="1" applyFill="1" applyBorder="1" applyAlignment="1">
      <alignment horizontal="center" vertical="center"/>
    </xf>
    <xf numFmtId="0" fontId="27" fillId="14" borderId="56" xfId="0" applyFont="1" applyFill="1" applyBorder="1" applyAlignment="1">
      <alignment horizontal="center" vertical="center"/>
    </xf>
    <xf numFmtId="0" fontId="27" fillId="14" borderId="57" xfId="0" applyFont="1" applyFill="1" applyBorder="1" applyAlignment="1">
      <alignment horizontal="center" vertical="center"/>
    </xf>
    <xf numFmtId="0" fontId="27" fillId="4" borderId="56" xfId="0" applyFont="1" applyFill="1" applyBorder="1" applyAlignment="1">
      <alignment horizontal="center" vertical="center"/>
    </xf>
    <xf numFmtId="0" fontId="27" fillId="4" borderId="57" xfId="0" applyFont="1" applyFill="1" applyBorder="1" applyAlignment="1">
      <alignment horizontal="center" vertical="center"/>
    </xf>
    <xf numFmtId="0" fontId="3" fillId="0" borderId="50" xfId="0" applyFont="1" applyBorder="1" applyAlignment="1">
      <alignment/>
    </xf>
    <xf numFmtId="0" fontId="5"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0" xfId="0"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10" fillId="0" borderId="24"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2" fontId="5" fillId="0" borderId="13"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173" fontId="5" fillId="0" borderId="37" xfId="0" applyNumberFormat="1" applyFont="1" applyFill="1" applyBorder="1" applyAlignment="1">
      <alignment horizontal="center" vertical="center" wrapText="1"/>
    </xf>
    <xf numFmtId="173" fontId="5" fillId="0" borderId="10" xfId="0" applyNumberFormat="1" applyFont="1" applyFill="1" applyBorder="1" applyAlignment="1">
      <alignment horizontal="center" vertical="center" wrapText="1"/>
    </xf>
    <xf numFmtId="173" fontId="5" fillId="0" borderId="38" xfId="0" applyNumberFormat="1" applyFont="1" applyFill="1" applyBorder="1" applyAlignment="1">
      <alignment horizontal="center" vertical="center" wrapText="1"/>
    </xf>
    <xf numFmtId="173" fontId="5" fillId="0" borderId="39" xfId="0" applyNumberFormat="1" applyFont="1" applyFill="1" applyBorder="1" applyAlignment="1">
      <alignment horizontal="center" vertical="center" wrapText="1"/>
    </xf>
    <xf numFmtId="173" fontId="5" fillId="0" borderId="15" xfId="0" applyNumberFormat="1" applyFont="1" applyFill="1" applyBorder="1" applyAlignment="1">
      <alignment horizontal="center" vertical="center" wrapText="1"/>
    </xf>
    <xf numFmtId="173" fontId="5" fillId="0" borderId="30" xfId="0" applyNumberFormat="1" applyFont="1" applyFill="1" applyBorder="1" applyAlignment="1">
      <alignment horizontal="center" vertical="center" wrapText="1"/>
    </xf>
    <xf numFmtId="2" fontId="5" fillId="0" borderId="22" xfId="0" applyNumberFormat="1" applyFont="1" applyFill="1" applyBorder="1" applyAlignment="1">
      <alignment horizontal="center" vertical="center" wrapText="1"/>
    </xf>
    <xf numFmtId="172" fontId="5" fillId="0" borderId="13" xfId="0" applyNumberFormat="1" applyFont="1" applyFill="1" applyBorder="1" applyAlignment="1">
      <alignment horizontal="center" vertical="center" wrapText="1"/>
    </xf>
    <xf numFmtId="0" fontId="10" fillId="0"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3" xfId="0" applyFont="1" applyFill="1" applyBorder="1" applyAlignment="1">
      <alignment horizontal="center" vertical="center" wrapText="1"/>
    </xf>
    <xf numFmtId="173" fontId="5" fillId="0" borderId="25" xfId="0" applyNumberFormat="1" applyFont="1" applyFill="1" applyBorder="1" applyAlignment="1">
      <alignment horizontal="center" vertical="center" wrapText="1"/>
    </xf>
    <xf numFmtId="173" fontId="5" fillId="0" borderId="24" xfId="0" applyNumberFormat="1" applyFont="1" applyFill="1" applyBorder="1" applyAlignment="1">
      <alignment horizontal="center" vertical="center" wrapText="1"/>
    </xf>
    <xf numFmtId="173" fontId="5" fillId="0" borderId="27" xfId="0" applyNumberFormat="1" applyFont="1" applyFill="1" applyBorder="1" applyAlignment="1">
      <alignment horizontal="center" vertical="center" wrapText="1"/>
    </xf>
    <xf numFmtId="0" fontId="12" fillId="0" borderId="20" xfId="0" applyFont="1" applyBorder="1" applyAlignment="1">
      <alignment horizontal="center" wrapText="1"/>
    </xf>
    <xf numFmtId="0" fontId="12" fillId="0" borderId="6" xfId="0" applyFont="1" applyBorder="1" applyAlignment="1">
      <alignment horizontal="center" wrapText="1"/>
    </xf>
    <xf numFmtId="0" fontId="12" fillId="0" borderId="21" xfId="0" applyFont="1" applyBorder="1" applyAlignment="1">
      <alignment horizontal="center" wrapText="1"/>
    </xf>
    <xf numFmtId="0" fontId="12" fillId="0" borderId="12" xfId="0" applyFont="1" applyBorder="1" applyAlignment="1">
      <alignment horizontal="center" wrapText="1"/>
    </xf>
    <xf numFmtId="0" fontId="3" fillId="10" borderId="13" xfId="0" applyFont="1" applyFill="1" applyBorder="1" applyAlignment="1">
      <alignment horizontal="center" wrapText="1"/>
    </xf>
    <xf numFmtId="0" fontId="3" fillId="0" borderId="13" xfId="0" applyFont="1" applyBorder="1" applyAlignment="1">
      <alignment horizontal="center" wrapText="1"/>
    </xf>
    <xf numFmtId="0" fontId="3" fillId="9" borderId="13" xfId="0" applyFont="1" applyFill="1" applyBorder="1" applyAlignment="1">
      <alignment horizontal="center" wrapText="1"/>
    </xf>
    <xf numFmtId="0" fontId="3" fillId="0" borderId="22" xfId="0" applyFont="1" applyBorder="1" applyAlignment="1">
      <alignment horizontal="center" wrapText="1"/>
    </xf>
    <xf numFmtId="0" fontId="3" fillId="12" borderId="13" xfId="0" applyFont="1" applyFill="1" applyBorder="1" applyAlignment="1">
      <alignment horizontal="center" wrapText="1"/>
    </xf>
    <xf numFmtId="0" fontId="3" fillId="11" borderId="13" xfId="0" applyFont="1" applyFill="1" applyBorder="1" applyAlignment="1">
      <alignment horizontal="center" wrapText="1"/>
    </xf>
    <xf numFmtId="0" fontId="72" fillId="19" borderId="13" xfId="0" applyFont="1" applyFill="1" applyBorder="1" applyAlignment="1">
      <alignment horizontal="center" wrapText="1"/>
    </xf>
    <xf numFmtId="0" fontId="3" fillId="0" borderId="13" xfId="0" applyFont="1" applyFill="1" applyBorder="1" applyAlignment="1">
      <alignment horizontal="center" wrapText="1"/>
    </xf>
    <xf numFmtId="0" fontId="12" fillId="0" borderId="12" xfId="0" applyFont="1" applyFill="1" applyBorder="1" applyAlignment="1">
      <alignment horizontal="center" vertical="center" wrapText="1"/>
    </xf>
    <xf numFmtId="0" fontId="12" fillId="0" borderId="12" xfId="0" applyFont="1" applyFill="1" applyBorder="1" applyAlignment="1">
      <alignment horizontal="center" wrapText="1"/>
    </xf>
    <xf numFmtId="0" fontId="12" fillId="0" borderId="17" xfId="0" applyFont="1" applyBorder="1" applyAlignment="1">
      <alignment horizontal="center" wrapText="1"/>
    </xf>
    <xf numFmtId="0" fontId="3" fillId="0" borderId="18" xfId="0" applyFont="1" applyBorder="1" applyAlignment="1">
      <alignment horizontal="center" wrapText="1"/>
    </xf>
    <xf numFmtId="0" fontId="3" fillId="10" borderId="18" xfId="0" applyFont="1" applyFill="1" applyBorder="1" applyAlignment="1">
      <alignment horizontal="center" wrapText="1"/>
    </xf>
    <xf numFmtId="0" fontId="3" fillId="9" borderId="18" xfId="0" applyFont="1" applyFill="1" applyBorder="1" applyAlignment="1">
      <alignment horizontal="center" wrapText="1"/>
    </xf>
    <xf numFmtId="0" fontId="3" fillId="0" borderId="23" xfId="0" applyFont="1" applyBorder="1" applyAlignment="1">
      <alignment horizontal="center" wrapText="1"/>
    </xf>
    <xf numFmtId="0" fontId="0" fillId="0" borderId="0" xfId="21" applyFont="1" applyFill="1" applyBorder="1">
      <alignment/>
      <protection/>
    </xf>
    <xf numFmtId="0" fontId="3" fillId="0" borderId="55" xfId="0" applyFont="1" applyBorder="1" applyAlignment="1">
      <alignment horizontal="center"/>
    </xf>
    <xf numFmtId="0" fontId="3" fillId="0" borderId="44" xfId="0" applyFont="1" applyBorder="1" applyAlignment="1">
      <alignment horizontal="center" wrapText="1"/>
    </xf>
    <xf numFmtId="0" fontId="24" fillId="0" borderId="20" xfId="0" applyFont="1" applyBorder="1" applyAlignment="1">
      <alignment horizontal="center" wrapText="1"/>
    </xf>
    <xf numFmtId="0" fontId="23" fillId="0" borderId="21" xfId="0" applyNumberFormat="1" applyFont="1" applyBorder="1" applyAlignment="1">
      <alignment horizontal="center" vertical="center" wrapText="1"/>
    </xf>
    <xf numFmtId="0" fontId="3" fillId="2" borderId="51" xfId="0" applyFont="1" applyFill="1" applyBorder="1" applyAlignment="1">
      <alignment vertical="center"/>
    </xf>
    <xf numFmtId="0" fontId="65" fillId="2" borderId="10" xfId="0" applyFont="1" applyFill="1" applyBorder="1" applyAlignment="1">
      <alignment horizontal="center" vertical="center"/>
    </xf>
    <xf numFmtId="0" fontId="29" fillId="3" borderId="22" xfId="0" applyFont="1" applyFill="1" applyBorder="1" applyAlignment="1">
      <alignment horizontal="center" vertical="center" wrapText="1"/>
    </xf>
    <xf numFmtId="0" fontId="3" fillId="0" borderId="0" xfId="0" applyFont="1" applyAlignment="1">
      <alignment horizontal="center"/>
    </xf>
    <xf numFmtId="0" fontId="65" fillId="2" borderId="15" xfId="0" applyFont="1" applyFill="1" applyBorder="1" applyAlignment="1">
      <alignment horizontal="center" vertical="center"/>
    </xf>
    <xf numFmtId="0" fontId="29" fillId="3" borderId="22" xfId="0" applyNumberFormat="1" applyFont="1" applyFill="1" applyBorder="1" applyAlignment="1">
      <alignment horizontal="center" vertical="center" wrapText="1"/>
    </xf>
    <xf numFmtId="0" fontId="24" fillId="3" borderId="13" xfId="0" applyNumberFormat="1" applyFont="1" applyFill="1" applyBorder="1" applyAlignment="1" quotePrefix="1">
      <alignment horizontal="center" vertical="center" wrapText="1"/>
    </xf>
    <xf numFmtId="1" fontId="24" fillId="3" borderId="13" xfId="0" applyNumberFormat="1" applyFont="1" applyFill="1" applyBorder="1" applyAlignment="1">
      <alignment horizontal="center" vertical="center" wrapText="1"/>
    </xf>
    <xf numFmtId="2" fontId="29" fillId="3" borderId="22" xfId="0" applyNumberFormat="1" applyFont="1" applyFill="1" applyBorder="1" applyAlignment="1">
      <alignment horizontal="center" vertical="center" wrapText="1"/>
    </xf>
    <xf numFmtId="0" fontId="23" fillId="3" borderId="13" xfId="0" applyNumberFormat="1" applyFont="1" applyFill="1" applyBorder="1" applyAlignment="1">
      <alignment horizontal="center" vertical="center" wrapText="1"/>
    </xf>
    <xf numFmtId="0" fontId="23" fillId="5" borderId="13" xfId="0" applyNumberFormat="1" applyFont="1" applyFill="1" applyBorder="1" applyAlignment="1">
      <alignment horizontal="center" vertical="center" wrapText="1"/>
    </xf>
    <xf numFmtId="0" fontId="29" fillId="5" borderId="22" xfId="0" applyFont="1" applyFill="1" applyBorder="1" applyAlignment="1">
      <alignment horizontal="center" vertical="center" wrapText="1"/>
    </xf>
    <xf numFmtId="0" fontId="3" fillId="2" borderId="58" xfId="0" applyFont="1" applyFill="1" applyBorder="1" applyAlignment="1">
      <alignment vertical="center"/>
    </xf>
    <xf numFmtId="0" fontId="65" fillId="2" borderId="24" xfId="0" applyFont="1" applyFill="1" applyBorder="1" applyAlignment="1">
      <alignment horizontal="center" vertical="center"/>
    </xf>
    <xf numFmtId="0" fontId="29" fillId="4" borderId="22" xfId="0" applyFont="1" applyFill="1" applyBorder="1" applyAlignment="1">
      <alignment horizontal="center" vertical="center" wrapText="1"/>
    </xf>
    <xf numFmtId="0" fontId="65" fillId="3" borderId="9" xfId="0" applyFont="1" applyFill="1" applyBorder="1" applyAlignment="1">
      <alignment horizontal="center" vertical="center"/>
    </xf>
    <xf numFmtId="0" fontId="23" fillId="4" borderId="13" xfId="0" applyNumberFormat="1" applyFont="1" applyFill="1" applyBorder="1" applyAlignment="1">
      <alignment horizontal="center" vertical="center" wrapText="1"/>
    </xf>
    <xf numFmtId="0" fontId="65" fillId="3" borderId="15" xfId="0" applyFont="1" applyFill="1" applyBorder="1" applyAlignment="1">
      <alignment horizontal="center" vertical="center"/>
    </xf>
    <xf numFmtId="2" fontId="38" fillId="14" borderId="13" xfId="0" applyNumberFormat="1" applyFont="1" applyFill="1" applyBorder="1" applyAlignment="1">
      <alignment horizontal="center" vertical="center" wrapText="1"/>
    </xf>
    <xf numFmtId="2" fontId="29" fillId="14" borderId="22" xfId="0" applyNumberFormat="1" applyFont="1" applyFill="1" applyBorder="1" applyAlignment="1">
      <alignment horizontal="center" vertical="center" wrapText="1"/>
    </xf>
    <xf numFmtId="0" fontId="65" fillId="14" borderId="15" xfId="0" applyFont="1" applyFill="1" applyBorder="1" applyAlignment="1">
      <alignment horizontal="center" vertical="center"/>
    </xf>
    <xf numFmtId="0" fontId="29" fillId="14" borderId="22" xfId="0" applyFont="1" applyFill="1" applyBorder="1" applyAlignment="1">
      <alignment horizontal="center" vertical="center" wrapText="1"/>
    </xf>
    <xf numFmtId="0" fontId="38" fillId="14" borderId="13" xfId="0" applyNumberFormat="1" applyFont="1" applyFill="1" applyBorder="1" applyAlignment="1">
      <alignment horizontal="center" vertical="center" wrapText="1"/>
    </xf>
    <xf numFmtId="0" fontId="65" fillId="4" borderId="15" xfId="0" applyFont="1" applyFill="1" applyBorder="1" applyAlignment="1">
      <alignment horizontal="center" vertical="center"/>
    </xf>
    <xf numFmtId="0" fontId="23" fillId="14" borderId="22" xfId="0" applyNumberFormat="1" applyFont="1" applyFill="1" applyBorder="1" applyAlignment="1">
      <alignment horizontal="center" vertical="center" wrapText="1"/>
    </xf>
    <xf numFmtId="0" fontId="65" fillId="8" borderId="15" xfId="0" applyFont="1" applyFill="1" applyBorder="1" applyAlignment="1">
      <alignment horizontal="center" vertical="center"/>
    </xf>
    <xf numFmtId="0" fontId="0" fillId="16" borderId="13" xfId="0" applyFont="1" applyFill="1" applyBorder="1" applyAlignment="1">
      <alignment vertical="center"/>
    </xf>
    <xf numFmtId="0" fontId="65" fillId="16" borderId="15" xfId="0" applyFont="1" applyFill="1" applyBorder="1" applyAlignment="1">
      <alignment horizontal="center" vertical="center"/>
    </xf>
    <xf numFmtId="0" fontId="44" fillId="14" borderId="17" xfId="0" applyFont="1" applyFill="1" applyBorder="1" applyAlignment="1">
      <alignment horizontal="center" vertical="center" wrapText="1"/>
    </xf>
    <xf numFmtId="0" fontId="29" fillId="14" borderId="23" xfId="0" applyFont="1" applyFill="1" applyBorder="1" applyAlignment="1">
      <alignment horizontal="center" vertical="center" wrapText="1"/>
    </xf>
    <xf numFmtId="0" fontId="44" fillId="6" borderId="20" xfId="0" applyFont="1" applyFill="1" applyBorder="1" applyAlignment="1">
      <alignment horizontal="center" wrapText="1"/>
    </xf>
    <xf numFmtId="0" fontId="24" fillId="6" borderId="6" xfId="0" applyFont="1" applyFill="1" applyBorder="1" applyAlignment="1">
      <alignment horizontal="center" wrapText="1"/>
    </xf>
    <xf numFmtId="0" fontId="21" fillId="6" borderId="6" xfId="0" applyNumberFormat="1" applyFont="1" applyFill="1" applyBorder="1" applyAlignment="1">
      <alignment horizontal="center" wrapText="1"/>
    </xf>
    <xf numFmtId="1" fontId="24" fillId="6" borderId="6" xfId="0" applyNumberFormat="1" applyFont="1" applyFill="1" applyBorder="1" applyAlignment="1">
      <alignment horizontal="center" wrapText="1"/>
    </xf>
    <xf numFmtId="0" fontId="23" fillId="6" borderId="21" xfId="0" applyNumberFormat="1" applyFont="1" applyFill="1" applyBorder="1" applyAlignment="1">
      <alignment horizontal="center" wrapText="1"/>
    </xf>
    <xf numFmtId="0" fontId="44" fillId="6" borderId="12" xfId="0" applyFont="1" applyFill="1" applyBorder="1" applyAlignment="1">
      <alignment horizontal="center" wrapText="1"/>
    </xf>
    <xf numFmtId="0" fontId="24" fillId="6" borderId="13" xfId="0" applyFont="1" applyFill="1" applyBorder="1" applyAlignment="1">
      <alignment horizontal="center" wrapText="1"/>
    </xf>
    <xf numFmtId="0" fontId="21" fillId="6" borderId="13" xfId="0" applyNumberFormat="1" applyFont="1" applyFill="1" applyBorder="1" applyAlignment="1">
      <alignment horizontal="center" wrapText="1"/>
    </xf>
    <xf numFmtId="0" fontId="29" fillId="6" borderId="22" xfId="0" applyFont="1" applyFill="1" applyBorder="1" applyAlignment="1">
      <alignment horizontal="center" wrapText="1"/>
    </xf>
    <xf numFmtId="0" fontId="44" fillId="6" borderId="17" xfId="0" applyFont="1" applyFill="1" applyBorder="1" applyAlignment="1">
      <alignment horizontal="center" wrapText="1"/>
    </xf>
    <xf numFmtId="0" fontId="24" fillId="6" borderId="18" xfId="0" applyFont="1" applyFill="1" applyBorder="1" applyAlignment="1">
      <alignment horizontal="center" wrapText="1"/>
    </xf>
    <xf numFmtId="0" fontId="21" fillId="6" borderId="18" xfId="0" applyNumberFormat="1" applyFont="1" applyFill="1" applyBorder="1" applyAlignment="1">
      <alignment horizontal="center" wrapText="1"/>
    </xf>
    <xf numFmtId="0" fontId="29" fillId="6" borderId="23" xfId="0" applyFont="1" applyFill="1" applyBorder="1" applyAlignment="1">
      <alignment horizontal="center" wrapText="1"/>
    </xf>
    <xf numFmtId="0" fontId="37" fillId="6" borderId="34" xfId="0" applyFont="1" applyFill="1" applyBorder="1" applyAlignment="1">
      <alignment horizontal="center" vertical="center"/>
    </xf>
    <xf numFmtId="0" fontId="14" fillId="0" borderId="0" xfId="0" applyFont="1" applyFill="1" applyBorder="1" applyAlignment="1">
      <alignment horizontal="center" vertical="center" wrapText="1"/>
    </xf>
    <xf numFmtId="0" fontId="27" fillId="6" borderId="36" xfId="0" applyFont="1" applyFill="1" applyBorder="1" applyAlignment="1">
      <alignment horizontal="center" vertical="center"/>
    </xf>
    <xf numFmtId="172" fontId="5" fillId="6" borderId="24" xfId="0" applyNumberFormat="1" applyFont="1" applyFill="1" applyBorder="1" applyAlignment="1">
      <alignment horizontal="center" vertical="center"/>
    </xf>
    <xf numFmtId="0" fontId="27" fillId="7" borderId="48" xfId="0" applyFont="1" applyFill="1" applyBorder="1" applyAlignment="1">
      <alignment horizontal="center" vertical="center"/>
    </xf>
    <xf numFmtId="0" fontId="65" fillId="7" borderId="9" xfId="0" applyFont="1" applyFill="1" applyBorder="1" applyAlignment="1">
      <alignment horizontal="center" vertical="center"/>
    </xf>
    <xf numFmtId="0" fontId="2" fillId="7" borderId="9" xfId="0" applyFont="1" applyFill="1" applyBorder="1" applyAlignment="1">
      <alignment horizontal="center" vertical="center"/>
    </xf>
    <xf numFmtId="0" fontId="27" fillId="3" borderId="26" xfId="0" applyFont="1" applyFill="1" applyBorder="1" applyAlignment="1">
      <alignment horizontal="center" vertical="center"/>
    </xf>
    <xf numFmtId="0" fontId="27" fillId="3" borderId="55" xfId="0" applyFont="1" applyFill="1" applyBorder="1" applyAlignment="1">
      <alignment horizontal="center" vertical="center"/>
    </xf>
    <xf numFmtId="0" fontId="2" fillId="3" borderId="59" xfId="0" applyFont="1" applyFill="1" applyBorder="1" applyAlignment="1">
      <alignment horizontal="center" vertical="center"/>
    </xf>
    <xf numFmtId="0" fontId="65" fillId="3" borderId="32" xfId="0" applyFont="1" applyFill="1" applyBorder="1" applyAlignment="1">
      <alignment horizontal="center" vertical="center"/>
    </xf>
    <xf numFmtId="0" fontId="37" fillId="0" borderId="0" xfId="0" applyFont="1" applyFill="1" applyBorder="1" applyAlignment="1">
      <alignment horizontal="center" wrapText="1"/>
    </xf>
    <xf numFmtId="0" fontId="74" fillId="0" borderId="0" xfId="0" applyFont="1" applyFill="1" applyBorder="1" applyAlignment="1">
      <alignment horizontal="center" wrapText="1"/>
    </xf>
    <xf numFmtId="0" fontId="0" fillId="3" borderId="11" xfId="0" applyFont="1" applyFill="1" applyBorder="1" applyAlignment="1">
      <alignment vertical="center"/>
    </xf>
    <xf numFmtId="0" fontId="65" fillId="14" borderId="9" xfId="0" applyFont="1" applyFill="1" applyBorder="1" applyAlignment="1">
      <alignment horizontal="center" vertical="center"/>
    </xf>
    <xf numFmtId="0" fontId="65" fillId="14" borderId="32" xfId="0" applyFont="1" applyFill="1" applyBorder="1" applyAlignment="1">
      <alignment horizontal="center" vertical="center"/>
    </xf>
    <xf numFmtId="172" fontId="24" fillId="14" borderId="13" xfId="0" applyNumberFormat="1" applyFont="1" applyFill="1" applyBorder="1" applyAlignment="1" quotePrefix="1">
      <alignment horizontal="center" vertical="center" wrapText="1"/>
    </xf>
    <xf numFmtId="0" fontId="38" fillId="14" borderId="13" xfId="0" applyNumberFormat="1" applyFont="1" applyFill="1" applyBorder="1" applyAlignment="1" quotePrefix="1">
      <alignment horizontal="center" vertical="center" wrapText="1"/>
    </xf>
    <xf numFmtId="0" fontId="40" fillId="14" borderId="15" xfId="0" applyFont="1" applyFill="1" applyBorder="1" applyAlignment="1">
      <alignment vertical="center"/>
    </xf>
    <xf numFmtId="0" fontId="23" fillId="14" borderId="48" xfId="0" applyFont="1" applyFill="1" applyBorder="1" applyAlignment="1">
      <alignment horizontal="center" vertical="center"/>
    </xf>
    <xf numFmtId="0" fontId="23" fillId="14" borderId="9" xfId="0" applyFont="1" applyFill="1" applyBorder="1" applyAlignment="1">
      <alignment horizontal="center" vertical="center"/>
    </xf>
    <xf numFmtId="0" fontId="42" fillId="14" borderId="30" xfId="0" applyFont="1" applyFill="1" applyBorder="1" applyAlignment="1">
      <alignment horizontal="center" vertical="center"/>
    </xf>
    <xf numFmtId="0" fontId="42" fillId="14" borderId="9" xfId="0" applyFont="1" applyFill="1" applyBorder="1" applyAlignment="1">
      <alignment horizontal="center" vertical="center"/>
    </xf>
    <xf numFmtId="0" fontId="65" fillId="4" borderId="9" xfId="0" applyFont="1" applyFill="1" applyBorder="1" applyAlignment="1">
      <alignment horizontal="center" vertical="center"/>
    </xf>
    <xf numFmtId="0" fontId="65" fillId="4" borderId="32" xfId="0" applyFont="1" applyFill="1" applyBorder="1" applyAlignment="1">
      <alignment horizontal="center" vertical="center"/>
    </xf>
    <xf numFmtId="0" fontId="65" fillId="4" borderId="24" xfId="0" applyFont="1" applyFill="1" applyBorder="1" applyAlignment="1">
      <alignment horizontal="center" vertical="center"/>
    </xf>
    <xf numFmtId="0" fontId="49" fillId="0" borderId="0" xfId="0" applyFont="1" applyAlignment="1">
      <alignment vertical="center" textRotation="90"/>
    </xf>
    <xf numFmtId="1" fontId="24" fillId="6" borderId="6" xfId="0" applyNumberFormat="1" applyFont="1" applyFill="1" applyBorder="1" applyAlignment="1">
      <alignment horizontal="center" vertical="center" wrapText="1"/>
    </xf>
    <xf numFmtId="0" fontId="23" fillId="6" borderId="21" xfId="0" applyNumberFormat="1" applyFont="1" applyFill="1" applyBorder="1" applyAlignment="1">
      <alignment horizontal="center" vertical="center" wrapText="1"/>
    </xf>
    <xf numFmtId="0" fontId="29" fillId="6" borderId="22" xfId="0" applyFont="1" applyFill="1" applyBorder="1" applyAlignment="1">
      <alignment horizontal="center" vertical="center" wrapText="1"/>
    </xf>
    <xf numFmtId="0" fontId="29" fillId="6" borderId="23" xfId="0" applyFont="1" applyFill="1" applyBorder="1" applyAlignment="1">
      <alignment horizontal="center" vertical="center" wrapText="1"/>
    </xf>
    <xf numFmtId="0" fontId="74" fillId="0" borderId="2" xfId="0" applyFont="1" applyFill="1" applyBorder="1" applyAlignment="1">
      <alignment horizontal="center" wrapText="1"/>
    </xf>
    <xf numFmtId="0" fontId="74" fillId="0" borderId="3" xfId="0" applyFont="1" applyFill="1" applyBorder="1" applyAlignment="1">
      <alignment horizontal="center" wrapText="1"/>
    </xf>
    <xf numFmtId="0" fontId="74" fillId="0" borderId="42" xfId="0" applyFont="1" applyFill="1" applyBorder="1" applyAlignment="1">
      <alignment horizontal="center" wrapText="1"/>
    </xf>
    <xf numFmtId="0" fontId="74" fillId="0" borderId="10" xfId="0" applyFont="1" applyFill="1" applyBorder="1" applyAlignment="1">
      <alignment horizontal="center" wrapText="1"/>
    </xf>
    <xf numFmtId="0" fontId="37" fillId="0" borderId="37" xfId="0" applyFont="1" applyFill="1" applyBorder="1" applyAlignment="1">
      <alignment horizontal="center" wrapText="1"/>
    </xf>
    <xf numFmtId="0" fontId="37" fillId="0" borderId="10" xfId="0" applyFont="1" applyFill="1" applyBorder="1" applyAlignment="1">
      <alignment horizontal="center" wrapText="1"/>
    </xf>
    <xf numFmtId="0" fontId="37" fillId="0" borderId="38" xfId="0" applyFont="1" applyFill="1" applyBorder="1" applyAlignment="1">
      <alignment horizontal="center" wrapText="1"/>
    </xf>
    <xf numFmtId="0" fontId="74" fillId="0" borderId="15" xfId="0" applyFont="1" applyFill="1" applyBorder="1" applyAlignment="1">
      <alignment horizontal="center" wrapText="1"/>
    </xf>
    <xf numFmtId="0" fontId="37" fillId="0" borderId="39" xfId="0" applyFont="1" applyFill="1" applyBorder="1" applyAlignment="1">
      <alignment horizontal="center" wrapText="1"/>
    </xf>
    <xf numFmtId="0" fontId="37" fillId="0" borderId="15" xfId="0" applyFont="1" applyFill="1" applyBorder="1" applyAlignment="1">
      <alignment horizontal="center" wrapText="1"/>
    </xf>
    <xf numFmtId="0" fontId="37" fillId="0" borderId="30" xfId="0" applyFont="1" applyFill="1" applyBorder="1" applyAlignment="1">
      <alignment horizontal="center" wrapText="1"/>
    </xf>
    <xf numFmtId="1" fontId="37" fillId="0" borderId="39" xfId="0" applyNumberFormat="1" applyFont="1" applyFill="1" applyBorder="1" applyAlignment="1">
      <alignment horizontal="center" wrapText="1"/>
    </xf>
    <xf numFmtId="0" fontId="74" fillId="0" borderId="24" xfId="0" applyFont="1" applyFill="1" applyBorder="1" applyAlignment="1">
      <alignment horizontal="center" wrapText="1"/>
    </xf>
    <xf numFmtId="0" fontId="37" fillId="0" borderId="25" xfId="0" applyFont="1" applyFill="1" applyBorder="1" applyAlignment="1">
      <alignment horizontal="center" wrapText="1"/>
    </xf>
    <xf numFmtId="0" fontId="37" fillId="0" borderId="24" xfId="0" applyFont="1" applyFill="1" applyBorder="1" applyAlignment="1">
      <alignment horizontal="center" wrapText="1"/>
    </xf>
    <xf numFmtId="0" fontId="37" fillId="0" borderId="27" xfId="0" applyFont="1" applyFill="1" applyBorder="1" applyAlignment="1">
      <alignment horizontal="center" wrapText="1"/>
    </xf>
    <xf numFmtId="0" fontId="37" fillId="0" borderId="20" xfId="0" applyFont="1" applyFill="1" applyBorder="1" applyAlignment="1">
      <alignment horizontal="center" wrapText="1"/>
    </xf>
    <xf numFmtId="0" fontId="37" fillId="0" borderId="6" xfId="0" applyFont="1" applyFill="1" applyBorder="1" applyAlignment="1">
      <alignment horizontal="center" vertical="center" wrapText="1"/>
    </xf>
    <xf numFmtId="0" fontId="74" fillId="0" borderId="6"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2" xfId="0" applyFont="1" applyFill="1" applyBorder="1" applyAlignment="1">
      <alignment horizontal="center" wrapText="1"/>
    </xf>
    <xf numFmtId="2" fontId="37" fillId="0" borderId="13" xfId="0" applyNumberFormat="1" applyFont="1" applyFill="1" applyBorder="1" applyAlignment="1">
      <alignment horizontal="center" vertical="center" wrapText="1"/>
    </xf>
    <xf numFmtId="0" fontId="37" fillId="0" borderId="13"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37" fillId="0" borderId="22" xfId="0" applyFont="1" applyFill="1" applyBorder="1" applyAlignment="1">
      <alignment horizontal="center" vertical="center" wrapText="1"/>
    </xf>
    <xf numFmtId="173" fontId="3" fillId="0" borderId="37" xfId="0" applyNumberFormat="1" applyFont="1" applyFill="1" applyBorder="1" applyAlignment="1">
      <alignment horizontal="center"/>
    </xf>
    <xf numFmtId="173" fontId="3" fillId="0" borderId="10" xfId="0" applyNumberFormat="1" applyFont="1" applyFill="1" applyBorder="1" applyAlignment="1">
      <alignment horizontal="center"/>
    </xf>
    <xf numFmtId="173" fontId="3" fillId="0" borderId="38" xfId="0" applyNumberFormat="1" applyFont="1" applyFill="1" applyBorder="1" applyAlignment="1">
      <alignment horizontal="center"/>
    </xf>
    <xf numFmtId="173" fontId="3" fillId="0" borderId="39" xfId="0" applyNumberFormat="1" applyFont="1" applyFill="1" applyBorder="1" applyAlignment="1">
      <alignment horizontal="center"/>
    </xf>
    <xf numFmtId="173" fontId="3" fillId="0" borderId="15" xfId="0" applyNumberFormat="1" applyFont="1" applyFill="1" applyBorder="1" applyAlignment="1">
      <alignment horizontal="center"/>
    </xf>
    <xf numFmtId="173" fontId="3" fillId="0" borderId="30" xfId="0" applyNumberFormat="1" applyFont="1" applyFill="1" applyBorder="1" applyAlignment="1">
      <alignment horizontal="center"/>
    </xf>
    <xf numFmtId="2" fontId="37" fillId="0" borderId="22" xfId="0" applyNumberFormat="1" applyFont="1" applyFill="1" applyBorder="1" applyAlignment="1">
      <alignment horizontal="center" vertical="center" wrapText="1"/>
    </xf>
    <xf numFmtId="172" fontId="37" fillId="0" borderId="13" xfId="0" applyNumberFormat="1" applyFont="1" applyFill="1" applyBorder="1" applyAlignment="1">
      <alignment horizontal="center" vertical="center" wrapText="1"/>
    </xf>
    <xf numFmtId="0" fontId="74" fillId="0" borderId="17" xfId="0" applyFont="1" applyFill="1" applyBorder="1" applyAlignment="1">
      <alignment horizontal="center" wrapText="1"/>
    </xf>
    <xf numFmtId="0" fontId="37" fillId="0" borderId="18" xfId="0" applyFont="1" applyFill="1" applyBorder="1" applyAlignment="1">
      <alignment horizontal="center" vertical="center" wrapText="1"/>
    </xf>
    <xf numFmtId="0" fontId="37" fillId="0" borderId="23" xfId="0" applyFont="1" applyFill="1" applyBorder="1" applyAlignment="1">
      <alignment horizontal="center" vertical="center" wrapText="1"/>
    </xf>
    <xf numFmtId="173" fontId="3" fillId="0" borderId="25" xfId="0" applyNumberFormat="1" applyFont="1" applyFill="1" applyBorder="1" applyAlignment="1">
      <alignment horizontal="center"/>
    </xf>
    <xf numFmtId="173" fontId="3" fillId="0" borderId="24" xfId="0" applyNumberFormat="1" applyFont="1" applyFill="1" applyBorder="1" applyAlignment="1">
      <alignment horizontal="center"/>
    </xf>
    <xf numFmtId="173" fontId="3" fillId="0" borderId="27" xfId="0" applyNumberFormat="1" applyFont="1" applyFill="1" applyBorder="1" applyAlignment="1">
      <alignment horizontal="center"/>
    </xf>
    <xf numFmtId="0" fontId="12" fillId="0" borderId="20" xfId="0" applyFont="1" applyBorder="1" applyAlignment="1">
      <alignment horizontal="center"/>
    </xf>
    <xf numFmtId="0" fontId="3" fillId="0" borderId="12" xfId="0" applyFont="1" applyBorder="1" applyAlignment="1">
      <alignment horizontal="center"/>
    </xf>
    <xf numFmtId="0" fontId="3" fillId="0" borderId="13" xfId="0" applyFont="1" applyFill="1" applyBorder="1" applyAlignment="1">
      <alignment horizontal="center"/>
    </xf>
    <xf numFmtId="0" fontId="3" fillId="11" borderId="13" xfId="0" applyFont="1" applyFill="1" applyBorder="1" applyAlignment="1">
      <alignment horizontal="center"/>
    </xf>
    <xf numFmtId="0" fontId="3" fillId="0" borderId="17" xfId="0" applyFont="1" applyBorder="1" applyAlignment="1">
      <alignment horizontal="center"/>
    </xf>
    <xf numFmtId="0" fontId="3" fillId="9" borderId="18" xfId="0" applyFont="1" applyFill="1" applyBorder="1" applyAlignment="1">
      <alignment horizontal="center"/>
    </xf>
    <xf numFmtId="0" fontId="3" fillId="10" borderId="18" xfId="0" applyFont="1" applyFill="1" applyBorder="1" applyAlignment="1">
      <alignment horizontal="center"/>
    </xf>
    <xf numFmtId="0" fontId="3" fillId="0" borderId="23" xfId="0" applyFont="1" applyBorder="1" applyAlignment="1">
      <alignment horizontal="center"/>
    </xf>
    <xf numFmtId="0" fontId="5" fillId="0" borderId="0" xfId="0" applyFont="1" applyAlignment="1">
      <alignment horizontal="justify"/>
    </xf>
    <xf numFmtId="0" fontId="19" fillId="0" borderId="0" xfId="20" applyFont="1" applyAlignment="1">
      <alignment horizontal="left" vertical="center" wrapText="1"/>
      <protection/>
    </xf>
    <xf numFmtId="0" fontId="13" fillId="0" borderId="2" xfId="0" applyFont="1" applyBorder="1" applyAlignment="1">
      <alignment horizontal="center" vertical="center"/>
    </xf>
    <xf numFmtId="0" fontId="18" fillId="0" borderId="42" xfId="0" applyFont="1" applyBorder="1" applyAlignment="1">
      <alignment horizontal="center" vertical="center"/>
    </xf>
    <xf numFmtId="0" fontId="3" fillId="0" borderId="0" xfId="0" applyFont="1" applyFill="1" applyAlignment="1">
      <alignment wrapText="1"/>
    </xf>
    <xf numFmtId="0" fontId="3" fillId="0" borderId="55"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14" fillId="20" borderId="2" xfId="0" applyFont="1" applyFill="1" applyBorder="1" applyAlignment="1">
      <alignment horizontal="center" vertical="center"/>
    </xf>
    <xf numFmtId="0" fontId="14" fillId="20" borderId="4" xfId="0" applyFont="1" applyFill="1" applyBorder="1" applyAlignment="1">
      <alignment horizontal="center" vertical="center"/>
    </xf>
    <xf numFmtId="0" fontId="14" fillId="20" borderId="42" xfId="0" applyFont="1" applyFill="1" applyBorder="1" applyAlignment="1">
      <alignment horizontal="center" vertical="center"/>
    </xf>
    <xf numFmtId="0" fontId="4" fillId="0" borderId="0" xfId="0" applyFont="1" applyAlignment="1">
      <alignment horizontal="center" vertical="center"/>
    </xf>
    <xf numFmtId="0" fontId="25" fillId="0" borderId="29" xfId="0" applyFont="1" applyBorder="1" applyAlignment="1">
      <alignment horizontal="center" vertical="center" textRotation="90"/>
    </xf>
    <xf numFmtId="0" fontId="25" fillId="0" borderId="59" xfId="0" applyFont="1" applyBorder="1" applyAlignment="1">
      <alignment horizontal="center" vertical="center" textRotation="90"/>
    </xf>
    <xf numFmtId="0" fontId="25" fillId="0" borderId="40" xfId="0" applyFont="1" applyBorder="1" applyAlignment="1">
      <alignment horizontal="center" vertical="center" textRotation="90"/>
    </xf>
    <xf numFmtId="0" fontId="21" fillId="13" borderId="12" xfId="0" applyNumberFormat="1" applyFont="1" applyFill="1" applyBorder="1" applyAlignment="1">
      <alignment horizontal="center" vertical="center" wrapText="1"/>
    </xf>
    <xf numFmtId="0" fontId="24" fillId="13" borderId="13"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1" fillId="13" borderId="17" xfId="0" applyNumberFormat="1" applyFont="1" applyFill="1" applyBorder="1" applyAlignment="1">
      <alignment horizontal="center" vertical="center" wrapText="1"/>
    </xf>
    <xf numFmtId="0" fontId="24" fillId="13" borderId="18"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4" fillId="6" borderId="55" xfId="0" applyFont="1" applyFill="1" applyBorder="1" applyAlignment="1">
      <alignment horizontal="center" vertical="center"/>
    </xf>
    <xf numFmtId="0" fontId="4" fillId="6" borderId="0" xfId="0" applyFont="1" applyFill="1" applyBorder="1" applyAlignment="1">
      <alignment horizontal="center" vertical="center"/>
    </xf>
    <xf numFmtId="0" fontId="4" fillId="6" borderId="60" xfId="0" applyFont="1" applyFill="1" applyBorder="1" applyAlignment="1">
      <alignment horizontal="center" vertical="center"/>
    </xf>
    <xf numFmtId="0" fontId="44" fillId="0" borderId="0" xfId="0" applyFont="1" applyFill="1" applyAlignment="1">
      <alignment horizontal="center"/>
    </xf>
    <xf numFmtId="0" fontId="4" fillId="0" borderId="0" xfId="0" applyFont="1" applyFill="1" applyAlignment="1">
      <alignment horizontal="center"/>
    </xf>
    <xf numFmtId="0" fontId="24" fillId="13" borderId="37" xfId="0" applyNumberFormat="1" applyFont="1" applyFill="1" applyBorder="1" applyAlignment="1">
      <alignment horizontal="center" vertical="center" wrapText="1"/>
    </xf>
    <xf numFmtId="0" fontId="21" fillId="13" borderId="35" xfId="0" applyNumberFormat="1" applyFont="1" applyFill="1" applyBorder="1" applyAlignment="1">
      <alignment horizontal="center" vertical="center" wrapText="1"/>
    </xf>
    <xf numFmtId="0" fontId="21" fillId="13" borderId="38" xfId="0" applyNumberFormat="1" applyFont="1" applyFill="1" applyBorder="1" applyAlignment="1">
      <alignment horizontal="center" vertical="center" wrapText="1"/>
    </xf>
    <xf numFmtId="0" fontId="15" fillId="20" borderId="2" xfId="0" applyFont="1" applyFill="1" applyBorder="1" applyAlignment="1">
      <alignment horizontal="center" vertical="center"/>
    </xf>
    <xf numFmtId="0" fontId="15" fillId="20" borderId="4" xfId="0" applyFont="1" applyFill="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3" fillId="0" borderId="4" xfId="0" applyFont="1" applyBorder="1" applyAlignment="1">
      <alignment horizontal="center" vertical="center"/>
    </xf>
    <xf numFmtId="0" fontId="13" fillId="0" borderId="42" xfId="0" applyFont="1" applyBorder="1" applyAlignment="1">
      <alignment horizontal="center" vertical="center"/>
    </xf>
    <xf numFmtId="0" fontId="15" fillId="20" borderId="42" xfId="0" applyFont="1" applyFill="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42" xfId="0" applyFont="1" applyBorder="1" applyAlignment="1">
      <alignment horizontal="left" vertical="center" wrapText="1"/>
    </xf>
    <xf numFmtId="0" fontId="21" fillId="13" borderId="16" xfId="0" applyNumberFormat="1" applyFont="1" applyFill="1" applyBorder="1" applyAlignment="1">
      <alignment horizontal="center" vertical="center" wrapText="1"/>
    </xf>
    <xf numFmtId="0" fontId="3" fillId="13" borderId="13" xfId="0" applyFont="1" applyFill="1" applyBorder="1" applyAlignment="1">
      <alignment horizontal="center" vertical="center" wrapText="1"/>
    </xf>
    <xf numFmtId="0" fontId="3" fillId="13" borderId="22" xfId="0" applyFont="1" applyFill="1" applyBorder="1" applyAlignment="1">
      <alignment horizontal="center" vertical="center" wrapText="1"/>
    </xf>
    <xf numFmtId="0" fontId="49" fillId="0" borderId="29" xfId="0" applyFont="1" applyBorder="1" applyAlignment="1">
      <alignment horizontal="center" vertical="center" textRotation="90"/>
    </xf>
    <xf numFmtId="0" fontId="49" fillId="0" borderId="59" xfId="0" applyFont="1" applyBorder="1" applyAlignment="1">
      <alignment horizontal="center" vertical="center" textRotation="90"/>
    </xf>
    <xf numFmtId="0" fontId="49" fillId="0" borderId="40" xfId="0" applyFont="1" applyBorder="1" applyAlignment="1">
      <alignment horizontal="center" vertical="center" textRotation="90"/>
    </xf>
    <xf numFmtId="0" fontId="21" fillId="13" borderId="58" xfId="0" applyNumberFormat="1" applyFont="1" applyFill="1" applyBorder="1" applyAlignment="1">
      <alignment horizontal="center" vertical="center" wrapText="1"/>
    </xf>
    <xf numFmtId="0" fontId="3" fillId="13" borderId="18" xfId="0" applyFont="1" applyFill="1" applyBorder="1" applyAlignment="1">
      <alignment horizontal="center" vertical="center" wrapText="1"/>
    </xf>
    <xf numFmtId="0" fontId="3" fillId="13" borderId="23" xfId="0" applyFont="1" applyFill="1" applyBorder="1" applyAlignment="1">
      <alignment horizontal="center" vertical="center" wrapText="1"/>
    </xf>
    <xf numFmtId="0" fontId="4" fillId="0" borderId="0" xfId="0" applyFont="1" applyAlignment="1">
      <alignment horizontal="center"/>
    </xf>
    <xf numFmtId="0" fontId="21" fillId="13" borderId="47" xfId="0" applyNumberFormat="1" applyFont="1" applyFill="1" applyBorder="1" applyAlignment="1">
      <alignment horizontal="center" vertical="center" wrapText="1"/>
    </xf>
    <xf numFmtId="0" fontId="3" fillId="13" borderId="49" xfId="0" applyFont="1" applyFill="1" applyBorder="1" applyAlignment="1">
      <alignment horizontal="center" vertical="center" wrapText="1"/>
    </xf>
    <xf numFmtId="0" fontId="3" fillId="13" borderId="54" xfId="0" applyFont="1" applyFill="1" applyBorder="1" applyAlignment="1">
      <alignment horizontal="center" vertical="center" wrapText="1"/>
    </xf>
    <xf numFmtId="0" fontId="24" fillId="13" borderId="50" xfId="0" applyNumberFormat="1" applyFont="1" applyFill="1" applyBorder="1" applyAlignment="1">
      <alignment horizontal="center" vertical="center"/>
    </xf>
    <xf numFmtId="0" fontId="12" fillId="13" borderId="50" xfId="0" applyFont="1" applyFill="1" applyBorder="1" applyAlignment="1">
      <alignment horizontal="center" vertical="center"/>
    </xf>
    <xf numFmtId="0" fontId="12" fillId="13" borderId="41" xfId="0" applyFont="1" applyFill="1" applyBorder="1" applyAlignment="1">
      <alignment horizontal="center" vertical="center"/>
    </xf>
    <xf numFmtId="0" fontId="21" fillId="13" borderId="20" xfId="0" applyNumberFormat="1" applyFont="1" applyFill="1" applyBorder="1" applyAlignment="1">
      <alignment horizontal="center" vertical="center" wrapText="1"/>
    </xf>
    <xf numFmtId="0" fontId="3" fillId="13" borderId="6" xfId="0" applyFont="1" applyFill="1" applyBorder="1" applyAlignment="1">
      <alignment horizontal="center" vertical="center" wrapText="1"/>
    </xf>
    <xf numFmtId="0" fontId="3" fillId="13" borderId="21" xfId="0" applyFont="1" applyFill="1" applyBorder="1" applyAlignment="1">
      <alignment horizontal="center" vertical="center" wrapText="1"/>
    </xf>
    <xf numFmtId="49" fontId="27" fillId="13" borderId="12" xfId="21" applyNumberFormat="1" applyFont="1" applyFill="1" applyBorder="1" applyAlignment="1">
      <alignment horizontal="center" vertical="center" wrapText="1"/>
      <protection/>
    </xf>
    <xf numFmtId="49" fontId="33" fillId="13" borderId="13" xfId="21" applyNumberFormat="1" applyFont="1" applyFill="1" applyBorder="1" applyAlignment="1">
      <alignment horizontal="center" vertical="center" wrapText="1"/>
      <protection/>
    </xf>
    <xf numFmtId="49" fontId="33" fillId="13" borderId="22" xfId="21" applyNumberFormat="1" applyFont="1" applyFill="1" applyBorder="1" applyAlignment="1">
      <alignment horizontal="center" vertical="center" wrapText="1"/>
      <protection/>
    </xf>
    <xf numFmtId="49" fontId="27" fillId="13" borderId="17" xfId="21" applyNumberFormat="1" applyFont="1" applyFill="1" applyBorder="1" applyAlignment="1">
      <alignment horizontal="center" vertical="center" wrapText="1"/>
      <protection/>
    </xf>
    <xf numFmtId="49" fontId="33" fillId="13" borderId="18" xfId="21" applyNumberFormat="1" applyFont="1" applyFill="1" applyBorder="1" applyAlignment="1">
      <alignment horizontal="center" vertical="center" wrapText="1"/>
      <protection/>
    </xf>
    <xf numFmtId="49" fontId="33" fillId="13" borderId="23" xfId="21" applyNumberFormat="1" applyFont="1" applyFill="1" applyBorder="1" applyAlignment="1">
      <alignment horizontal="center" vertical="center" wrapText="1"/>
      <protection/>
    </xf>
    <xf numFmtId="0" fontId="59" fillId="0" borderId="29" xfId="21" applyFont="1" applyBorder="1" applyAlignment="1">
      <alignment horizontal="center" vertical="center" textRotation="90"/>
      <protection/>
    </xf>
    <xf numFmtId="0" fontId="59" fillId="0" borderId="59" xfId="21" applyFont="1" applyBorder="1" applyAlignment="1">
      <alignment horizontal="center" vertical="center" textRotation="90"/>
      <protection/>
    </xf>
    <xf numFmtId="0" fontId="59" fillId="0" borderId="40" xfId="21" applyFont="1" applyBorder="1" applyAlignment="1">
      <alignment horizontal="center" vertical="center" textRotation="90"/>
      <protection/>
    </xf>
    <xf numFmtId="0" fontId="30" fillId="6" borderId="2" xfId="21" applyFont="1" applyFill="1" applyBorder="1" applyAlignment="1">
      <alignment horizontal="center" vertical="center"/>
      <protection/>
    </xf>
    <xf numFmtId="0" fontId="30" fillId="6" borderId="4" xfId="21" applyFont="1" applyFill="1" applyBorder="1" applyAlignment="1">
      <alignment horizontal="center" vertical="center"/>
      <protection/>
    </xf>
    <xf numFmtId="0" fontId="30" fillId="6" borderId="42" xfId="21" applyFont="1" applyFill="1" applyBorder="1" applyAlignment="1">
      <alignment horizontal="center" vertical="center"/>
      <protection/>
    </xf>
    <xf numFmtId="0" fontId="62" fillId="0" borderId="0" xfId="21" applyFont="1" applyFill="1" applyBorder="1" applyAlignment="1">
      <alignment horizontal="center" vertical="center"/>
      <protection/>
    </xf>
    <xf numFmtId="0" fontId="24" fillId="13" borderId="20" xfId="0" applyNumberFormat="1" applyFont="1" applyFill="1" applyBorder="1" applyAlignment="1">
      <alignment horizontal="center" vertical="center"/>
    </xf>
    <xf numFmtId="0" fontId="12" fillId="13" borderId="6" xfId="0" applyFont="1" applyFill="1" applyBorder="1" applyAlignment="1">
      <alignment horizontal="center" vertical="center"/>
    </xf>
    <xf numFmtId="0" fontId="12" fillId="13" borderId="21" xfId="0" applyFont="1" applyFill="1" applyBorder="1" applyAlignment="1">
      <alignment horizontal="center" vertical="center"/>
    </xf>
    <xf numFmtId="0" fontId="13" fillId="0" borderId="2" xfId="21" applyFont="1" applyBorder="1" applyAlignment="1">
      <alignment horizontal="center"/>
      <protection/>
    </xf>
    <xf numFmtId="0" fontId="13" fillId="0" borderId="4" xfId="21" applyFont="1" applyBorder="1" applyAlignment="1">
      <alignment horizontal="center"/>
      <protection/>
    </xf>
    <xf numFmtId="0" fontId="13" fillId="0" borderId="42" xfId="21" applyFont="1" applyBorder="1" applyAlignment="1">
      <alignment horizontal="center"/>
      <protection/>
    </xf>
    <xf numFmtId="0" fontId="62" fillId="0" borderId="0" xfId="20" applyFont="1" applyFill="1" applyBorder="1" applyAlignment="1">
      <alignment horizontal="center" vertical="center"/>
      <protection/>
    </xf>
    <xf numFmtId="0" fontId="59" fillId="0" borderId="29" xfId="20" applyFont="1" applyBorder="1" applyAlignment="1">
      <alignment horizontal="center" vertical="center" textRotation="90"/>
      <protection/>
    </xf>
    <xf numFmtId="0" fontId="59" fillId="0" borderId="59" xfId="20" applyFont="1" applyBorder="1" applyAlignment="1">
      <alignment horizontal="center" vertical="center" textRotation="90"/>
      <protection/>
    </xf>
    <xf numFmtId="0" fontId="59" fillId="0" borderId="40" xfId="20" applyFont="1" applyBorder="1" applyAlignment="1">
      <alignment horizontal="center" vertical="center" textRotation="90"/>
      <protection/>
    </xf>
    <xf numFmtId="49" fontId="50" fillId="13" borderId="12" xfId="21" applyNumberFormat="1" applyFont="1" applyFill="1" applyBorder="1" applyAlignment="1">
      <alignment horizontal="center" vertical="center" wrapText="1"/>
      <protection/>
    </xf>
    <xf numFmtId="0" fontId="14" fillId="20" borderId="2" xfId="0" applyFont="1" applyFill="1" applyBorder="1" applyAlignment="1">
      <alignment horizontal="center" vertical="center" wrapText="1"/>
    </xf>
    <xf numFmtId="0" fontId="14" fillId="20" borderId="4" xfId="0" applyFont="1" applyFill="1" applyBorder="1" applyAlignment="1">
      <alignment horizontal="center" vertical="center" wrapText="1"/>
    </xf>
    <xf numFmtId="0" fontId="14" fillId="20" borderId="42" xfId="0" applyFont="1" applyFill="1" applyBorder="1" applyAlignment="1">
      <alignment horizontal="center" vertical="center" wrapText="1"/>
    </xf>
    <xf numFmtId="0" fontId="13" fillId="0" borderId="2" xfId="20" applyFont="1" applyBorder="1" applyAlignment="1">
      <alignment horizontal="center"/>
      <protection/>
    </xf>
    <xf numFmtId="0" fontId="13" fillId="0" borderId="4" xfId="20" applyFont="1" applyBorder="1" applyAlignment="1">
      <alignment horizontal="center"/>
      <protection/>
    </xf>
    <xf numFmtId="0" fontId="13" fillId="0" borderId="42" xfId="20" applyFont="1" applyBorder="1" applyAlignment="1">
      <alignment horizontal="center"/>
      <protection/>
    </xf>
    <xf numFmtId="0" fontId="5" fillId="13" borderId="13" xfId="0" applyFont="1" applyFill="1" applyBorder="1" applyAlignment="1">
      <alignment horizontal="center" vertical="center" wrapText="1"/>
    </xf>
    <xf numFmtId="0" fontId="5" fillId="13" borderId="22"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5" fillId="13" borderId="23"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9" fillId="0" borderId="29" xfId="0" applyFont="1" applyBorder="1" applyAlignment="1">
      <alignment horizontal="center" vertical="center" textRotation="90" wrapText="1"/>
    </xf>
    <xf numFmtId="0" fontId="49" fillId="0" borderId="59" xfId="0" applyFont="1" applyBorder="1" applyAlignment="1">
      <alignment horizontal="center" vertical="center" textRotation="90" wrapText="1"/>
    </xf>
    <xf numFmtId="0" fontId="49" fillId="0" borderId="40" xfId="0" applyFont="1" applyBorder="1" applyAlignment="1">
      <alignment horizontal="center" vertical="center" textRotation="90" wrapText="1"/>
    </xf>
    <xf numFmtId="0" fontId="44" fillId="0" borderId="0" xfId="0" applyFont="1" applyAlignment="1">
      <alignment horizontal="center" vertical="center" wrapText="1"/>
    </xf>
    <xf numFmtId="0" fontId="4" fillId="0" borderId="0" xfId="0" applyFont="1" applyAlignment="1">
      <alignment horizontal="center" vertical="center" wrapText="1"/>
    </xf>
    <xf numFmtId="0" fontId="24" fillId="13" borderId="20" xfId="0" applyNumberFormat="1"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13" borderId="21" xfId="0" applyFont="1" applyFill="1" applyBorder="1" applyAlignment="1">
      <alignment horizontal="center" vertical="center" wrapText="1"/>
    </xf>
    <xf numFmtId="0" fontId="3" fillId="0" borderId="0" xfId="0" applyFont="1" applyAlignment="1">
      <alignment horizontal="center" vertical="center" wrapText="1"/>
    </xf>
    <xf numFmtId="0" fontId="15" fillId="20" borderId="2" xfId="0" applyFont="1" applyFill="1" applyBorder="1" applyAlignment="1">
      <alignment horizontal="center" vertical="center" wrapText="1"/>
    </xf>
    <xf numFmtId="0" fontId="15" fillId="20"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42" xfId="0" applyFont="1" applyBorder="1" applyAlignment="1">
      <alignment horizontal="center" vertical="center" wrapText="1"/>
    </xf>
    <xf numFmtId="0" fontId="15" fillId="20" borderId="42" xfId="0" applyFont="1" applyFill="1" applyBorder="1" applyAlignment="1">
      <alignment horizontal="center" vertical="center" wrapText="1"/>
    </xf>
    <xf numFmtId="0" fontId="21" fillId="13" borderId="25" xfId="0" applyNumberFormat="1" applyFont="1" applyFill="1" applyBorder="1" applyAlignment="1">
      <alignment horizontal="center" vertical="center" wrapText="1"/>
    </xf>
    <xf numFmtId="0" fontId="5" fillId="13" borderId="36" xfId="0" applyFont="1" applyFill="1" applyBorder="1" applyAlignment="1">
      <alignment horizontal="center" vertical="center" wrapText="1"/>
    </xf>
    <xf numFmtId="0" fontId="5" fillId="13" borderId="27" xfId="0" applyFont="1" applyFill="1" applyBorder="1" applyAlignment="1">
      <alignment horizontal="center" vertical="center" wrapText="1"/>
    </xf>
    <xf numFmtId="0" fontId="62" fillId="6" borderId="2" xfId="21" applyFont="1" applyFill="1" applyBorder="1" applyAlignment="1">
      <alignment horizontal="center" vertical="center"/>
      <protection/>
    </xf>
    <xf numFmtId="0" fontId="62" fillId="6" borderId="4" xfId="21" applyFont="1" applyFill="1" applyBorder="1" applyAlignment="1">
      <alignment horizontal="center" vertical="center"/>
      <protection/>
    </xf>
    <xf numFmtId="0" fontId="62" fillId="6" borderId="42" xfId="21" applyFont="1" applyFill="1" applyBorder="1" applyAlignment="1">
      <alignment horizontal="center" vertical="center"/>
      <protection/>
    </xf>
    <xf numFmtId="0" fontId="21" fillId="13" borderId="39" xfId="0" applyNumberFormat="1"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30" xfId="0" applyFont="1" applyFill="1" applyBorder="1" applyAlignment="1">
      <alignment horizontal="center" vertical="center" wrapText="1"/>
    </xf>
    <xf numFmtId="0" fontId="5" fillId="13" borderId="39" xfId="0" applyNumberFormat="1" applyFont="1" applyFill="1" applyBorder="1" applyAlignment="1">
      <alignment horizontal="center" vertical="center" wrapText="1"/>
    </xf>
    <xf numFmtId="0" fontId="24" fillId="13" borderId="37" xfId="0" applyNumberFormat="1" applyFont="1" applyFill="1" applyBorder="1" applyAlignment="1">
      <alignment horizontal="center" vertical="center"/>
    </xf>
    <xf numFmtId="0" fontId="12" fillId="13" borderId="35" xfId="0" applyFont="1" applyFill="1" applyBorder="1" applyAlignment="1">
      <alignment horizontal="center" vertical="center"/>
    </xf>
    <xf numFmtId="0" fontId="12" fillId="13" borderId="38" xfId="0" applyFont="1" applyFill="1" applyBorder="1" applyAlignment="1">
      <alignment horizontal="center" vertical="center"/>
    </xf>
    <xf numFmtId="0" fontId="13" fillId="0" borderId="2" xfId="0" applyFont="1" applyBorder="1" applyAlignment="1">
      <alignment horizontal="center"/>
    </xf>
    <xf numFmtId="0" fontId="13" fillId="0" borderId="4" xfId="0" applyFont="1" applyBorder="1" applyAlignment="1">
      <alignment horizontal="center"/>
    </xf>
    <xf numFmtId="0" fontId="13" fillId="0" borderId="42" xfId="0" applyFont="1" applyBorder="1" applyAlignment="1">
      <alignment horizontal="center"/>
    </xf>
    <xf numFmtId="0" fontId="24" fillId="13" borderId="5" xfId="0" applyNumberFormat="1" applyFont="1" applyFill="1" applyBorder="1" applyAlignment="1">
      <alignment horizontal="center" vertical="center"/>
    </xf>
    <xf numFmtId="0" fontId="10" fillId="13" borderId="7" xfId="0" applyFont="1" applyFill="1" applyBorder="1" applyAlignment="1">
      <alignment horizontal="center" vertical="center"/>
    </xf>
    <xf numFmtId="0" fontId="10" fillId="13" borderId="8" xfId="0" applyFont="1" applyFill="1" applyBorder="1" applyAlignment="1">
      <alignment horizontal="center" vertical="center"/>
    </xf>
    <xf numFmtId="0" fontId="5" fillId="13" borderId="6" xfId="0" applyFont="1" applyFill="1" applyBorder="1" applyAlignment="1">
      <alignment horizontal="center" vertical="center" wrapText="1"/>
    </xf>
    <xf numFmtId="0" fontId="5" fillId="13" borderId="21" xfId="0" applyFont="1" applyFill="1" applyBorder="1" applyAlignment="1">
      <alignment horizontal="center" vertical="center" wrapText="1"/>
    </xf>
  </cellXfs>
  <cellStyles count="9">
    <cellStyle name="Normal" xfId="0"/>
    <cellStyle name="Comma" xfId="15"/>
    <cellStyle name="Comma [0]" xfId="16"/>
    <cellStyle name="Currency" xfId="17"/>
    <cellStyle name="Currency [0]" xfId="18"/>
    <cellStyle name="Hyperlink" xfId="19"/>
    <cellStyle name="Normal_ASM3_EAWAG_EBPR_Modul_engl_HS" xfId="20"/>
    <cellStyle name="Normal_Exercise_Gujer_matrix_solution"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2.wmf" /><Relationship Id="rId4" Type="http://schemas.openxmlformats.org/officeDocument/2006/relationships/image" Target="../media/image1.wmf" /><Relationship Id="rId5" Type="http://schemas.openxmlformats.org/officeDocument/2006/relationships/image" Target="../media/image1.wmf" /><Relationship Id="rId6" Type="http://schemas.openxmlformats.org/officeDocument/2006/relationships/image" Target="../media/image1.wmf" /><Relationship Id="rId7" Type="http://schemas.openxmlformats.org/officeDocument/2006/relationships/image" Target="../media/image1.wmf" /><Relationship Id="rId8" Type="http://schemas.openxmlformats.org/officeDocument/2006/relationships/image" Target="../media/image1.wmf" /><Relationship Id="rId9" Type="http://schemas.openxmlformats.org/officeDocument/2006/relationships/image" Target="../media/image2.wmf" /><Relationship Id="rId10" Type="http://schemas.openxmlformats.org/officeDocument/2006/relationships/image" Target="../media/image1.wmf" /><Relationship Id="rId11" Type="http://schemas.openxmlformats.org/officeDocument/2006/relationships/image" Target="../media/image2.wmf" /><Relationship Id="rId12" Type="http://schemas.openxmlformats.org/officeDocument/2006/relationships/image" Target="../media/image1.wmf" /><Relationship Id="rId13" Type="http://schemas.openxmlformats.org/officeDocument/2006/relationships/image" Target="../media/image1.wmf" /><Relationship Id="rId14" Type="http://schemas.openxmlformats.org/officeDocument/2006/relationships/image" Target="../media/image1.wmf" /><Relationship Id="rId15" Type="http://schemas.openxmlformats.org/officeDocument/2006/relationships/image" Target="../media/image2.wmf" /><Relationship Id="rId16" Type="http://schemas.openxmlformats.org/officeDocument/2006/relationships/image" Target="../media/image1.wmf" /><Relationship Id="rId17" Type="http://schemas.openxmlformats.org/officeDocument/2006/relationships/image" Target="../media/image2.wmf" /><Relationship Id="rId18" Type="http://schemas.openxmlformats.org/officeDocument/2006/relationships/image" Target="../media/image1.wmf" /><Relationship Id="rId19" Type="http://schemas.openxmlformats.org/officeDocument/2006/relationships/image" Target="../media/image2.wmf" /><Relationship Id="rId20" Type="http://schemas.openxmlformats.org/officeDocument/2006/relationships/image" Target="../media/image2.wmf" /><Relationship Id="rId21" Type="http://schemas.openxmlformats.org/officeDocument/2006/relationships/image" Target="../media/image2.wmf" /><Relationship Id="rId22" Type="http://schemas.openxmlformats.org/officeDocument/2006/relationships/image" Target="../media/image1.wmf" /><Relationship Id="rId23" Type="http://schemas.openxmlformats.org/officeDocument/2006/relationships/image" Target="../media/image2.wmf" /><Relationship Id="rId24" Type="http://schemas.openxmlformats.org/officeDocument/2006/relationships/image" Target="../media/image1.wmf" /><Relationship Id="rId25" Type="http://schemas.openxmlformats.org/officeDocument/2006/relationships/image" Target="../media/image2.wmf" /><Relationship Id="rId26" Type="http://schemas.openxmlformats.org/officeDocument/2006/relationships/image" Target="../media/image2.wmf" /><Relationship Id="rId27" Type="http://schemas.openxmlformats.org/officeDocument/2006/relationships/image" Target="../media/image2.wmf" /><Relationship Id="rId28" Type="http://schemas.openxmlformats.org/officeDocument/2006/relationships/image" Target="../media/image2.wmf" /><Relationship Id="rId29" Type="http://schemas.openxmlformats.org/officeDocument/2006/relationships/image" Target="../media/image1.wmf" /><Relationship Id="rId30" Type="http://schemas.openxmlformats.org/officeDocument/2006/relationships/image" Target="../media/image1.wmf" /><Relationship Id="rId31" Type="http://schemas.openxmlformats.org/officeDocument/2006/relationships/image" Target="../media/image2.wmf" /><Relationship Id="rId32" Type="http://schemas.openxmlformats.org/officeDocument/2006/relationships/image" Target="../media/image2.wmf" /><Relationship Id="rId33" Type="http://schemas.openxmlformats.org/officeDocument/2006/relationships/image" Target="../media/image2.wmf" /><Relationship Id="rId34" Type="http://schemas.openxmlformats.org/officeDocument/2006/relationships/image" Target="../media/image1.wmf" /><Relationship Id="rId35" Type="http://schemas.openxmlformats.org/officeDocument/2006/relationships/image" Target="../media/image2.wmf" /><Relationship Id="rId36" Type="http://schemas.openxmlformats.org/officeDocument/2006/relationships/image" Target="../media/image1.wmf" /><Relationship Id="rId37" Type="http://schemas.openxmlformats.org/officeDocument/2006/relationships/image" Target="../media/image1.wmf" /><Relationship Id="rId38" Type="http://schemas.openxmlformats.org/officeDocument/2006/relationships/image" Target="../media/image1.wmf" /><Relationship Id="rId39" Type="http://schemas.openxmlformats.org/officeDocument/2006/relationships/image" Target="../media/image2.wmf" /><Relationship Id="rId40" Type="http://schemas.openxmlformats.org/officeDocument/2006/relationships/image" Target="../media/image2.wmf" /><Relationship Id="rId41" Type="http://schemas.openxmlformats.org/officeDocument/2006/relationships/image" Target="../media/image2.wmf" /><Relationship Id="rId42" Type="http://schemas.openxmlformats.org/officeDocument/2006/relationships/image" Target="../media/image1.wmf" /><Relationship Id="rId43" Type="http://schemas.openxmlformats.org/officeDocument/2006/relationships/image" Target="../media/image2.wmf" /><Relationship Id="rId44" Type="http://schemas.openxmlformats.org/officeDocument/2006/relationships/image" Target="../media/image1.wmf" /><Relationship Id="rId45" Type="http://schemas.openxmlformats.org/officeDocument/2006/relationships/image" Target="../media/image1.wmf" /><Relationship Id="rId46" Type="http://schemas.openxmlformats.org/officeDocument/2006/relationships/image" Target="../media/image1.wmf" /><Relationship Id="rId47" Type="http://schemas.openxmlformats.org/officeDocument/2006/relationships/image" Target="../media/image2.wmf" /><Relationship Id="rId48" Type="http://schemas.openxmlformats.org/officeDocument/2006/relationships/image" Target="../media/image2.wmf" /><Relationship Id="rId49" Type="http://schemas.openxmlformats.org/officeDocument/2006/relationships/image" Target="../media/image2.wmf" /><Relationship Id="rId50" Type="http://schemas.openxmlformats.org/officeDocument/2006/relationships/image" Target="../media/image1.wmf" /><Relationship Id="rId51" Type="http://schemas.openxmlformats.org/officeDocument/2006/relationships/image" Target="../media/image2.wmf" /><Relationship Id="rId52" Type="http://schemas.openxmlformats.org/officeDocument/2006/relationships/image" Target="../media/image1.wmf" /><Relationship Id="rId53" Type="http://schemas.openxmlformats.org/officeDocument/2006/relationships/image" Target="../media/image1.wmf" /><Relationship Id="rId54" Type="http://schemas.openxmlformats.org/officeDocument/2006/relationships/image" Target="../media/image1.wmf" /><Relationship Id="rId55" Type="http://schemas.openxmlformats.org/officeDocument/2006/relationships/image" Target="../media/image2.wmf" /><Relationship Id="rId56" Type="http://schemas.openxmlformats.org/officeDocument/2006/relationships/image" Target="../media/image2.wmf" /><Relationship Id="rId57" Type="http://schemas.openxmlformats.org/officeDocument/2006/relationships/image" Target="../media/image1.wmf" /><Relationship Id="rId58" Type="http://schemas.openxmlformats.org/officeDocument/2006/relationships/image" Target="../media/image1.wmf" /><Relationship Id="rId59" Type="http://schemas.openxmlformats.org/officeDocument/2006/relationships/image" Target="../media/image2.wmf" /><Relationship Id="rId60" Type="http://schemas.openxmlformats.org/officeDocument/2006/relationships/image" Target="../media/image2.wmf" /><Relationship Id="rId61" Type="http://schemas.openxmlformats.org/officeDocument/2006/relationships/image" Target="../media/image1.wmf" /><Relationship Id="rId62" Type="http://schemas.openxmlformats.org/officeDocument/2006/relationships/image" Target="../media/image1.wmf" /><Relationship Id="rId63" Type="http://schemas.openxmlformats.org/officeDocument/2006/relationships/image" Target="../media/image2.wmf" /><Relationship Id="rId64" Type="http://schemas.openxmlformats.org/officeDocument/2006/relationships/image" Target="../media/image2.wmf" /><Relationship Id="rId65" Type="http://schemas.openxmlformats.org/officeDocument/2006/relationships/image" Target="../media/image2.wmf" /><Relationship Id="rId66" Type="http://schemas.openxmlformats.org/officeDocument/2006/relationships/image" Target="../media/image2.wmf" /><Relationship Id="rId67" Type="http://schemas.openxmlformats.org/officeDocument/2006/relationships/image" Target="../media/image1.wmf" /><Relationship Id="rId68" Type="http://schemas.openxmlformats.org/officeDocument/2006/relationships/image" Target="../media/image1.wmf" /><Relationship Id="rId69" Type="http://schemas.openxmlformats.org/officeDocument/2006/relationships/image" Target="../media/image2.wmf" /><Relationship Id="rId70" Type="http://schemas.openxmlformats.org/officeDocument/2006/relationships/image" Target="../media/image2.wmf" /><Relationship Id="rId71" Type="http://schemas.openxmlformats.org/officeDocument/2006/relationships/image" Target="../media/image2.wmf" /><Relationship Id="rId72" Type="http://schemas.openxmlformats.org/officeDocument/2006/relationships/image" Target="../media/image2.wmf" /><Relationship Id="rId73" Type="http://schemas.openxmlformats.org/officeDocument/2006/relationships/image" Target="../media/image1.wmf" /><Relationship Id="rId74" Type="http://schemas.openxmlformats.org/officeDocument/2006/relationships/image" Target="../media/image1.wmf" /><Relationship Id="rId75" Type="http://schemas.openxmlformats.org/officeDocument/2006/relationships/image" Target="../media/image2.wmf" /><Relationship Id="rId76" Type="http://schemas.openxmlformats.org/officeDocument/2006/relationships/image" Target="../media/image2.wmf" /><Relationship Id="rId77" Type="http://schemas.openxmlformats.org/officeDocument/2006/relationships/image" Target="../media/image2.wmf" /><Relationship Id="rId78" Type="http://schemas.openxmlformats.org/officeDocument/2006/relationships/image" Target="../media/image2.wmf" /><Relationship Id="rId79" Type="http://schemas.openxmlformats.org/officeDocument/2006/relationships/image" Target="../media/image1.wmf" /><Relationship Id="rId80" Type="http://schemas.openxmlformats.org/officeDocument/2006/relationships/image" Target="../media/image1.wmf" /><Relationship Id="rId81" Type="http://schemas.openxmlformats.org/officeDocument/2006/relationships/image" Target="../media/image2.wmf" /><Relationship Id="rId82" Type="http://schemas.openxmlformats.org/officeDocument/2006/relationships/image" Target="../media/image2.wmf" /><Relationship Id="rId83" Type="http://schemas.openxmlformats.org/officeDocument/2006/relationships/image" Target="../media/image2.wmf" /><Relationship Id="rId84" Type="http://schemas.openxmlformats.org/officeDocument/2006/relationships/image" Target="../media/image2.wmf" /><Relationship Id="rId85" Type="http://schemas.openxmlformats.org/officeDocument/2006/relationships/image" Target="../media/image1.wmf" /><Relationship Id="rId86" Type="http://schemas.openxmlformats.org/officeDocument/2006/relationships/image" Target="../media/image1.wmf" /><Relationship Id="rId87" Type="http://schemas.openxmlformats.org/officeDocument/2006/relationships/image" Target="../media/image2.wmf" /><Relationship Id="rId88" Type="http://schemas.openxmlformats.org/officeDocument/2006/relationships/image" Target="../media/image2.wmf" /><Relationship Id="rId89" Type="http://schemas.openxmlformats.org/officeDocument/2006/relationships/image" Target="../media/image2.wmf" /><Relationship Id="rId90" Type="http://schemas.openxmlformats.org/officeDocument/2006/relationships/image" Target="../media/image2.wmf" /><Relationship Id="rId91" Type="http://schemas.openxmlformats.org/officeDocument/2006/relationships/image" Target="../media/image1.wmf" /><Relationship Id="rId92" Type="http://schemas.openxmlformats.org/officeDocument/2006/relationships/image" Target="../media/image1.wmf" /><Relationship Id="rId93" Type="http://schemas.openxmlformats.org/officeDocument/2006/relationships/image" Target="../media/image2.wmf" /><Relationship Id="rId94" Type="http://schemas.openxmlformats.org/officeDocument/2006/relationships/image" Target="../media/image2.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ylvie.gillot@cemagref.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oleObject" Target="../embeddings/oleObject_5_5.bin" /><Relationship Id="rId7" Type="http://schemas.openxmlformats.org/officeDocument/2006/relationships/oleObject" Target="../embeddings/oleObject_5_6.bin" /><Relationship Id="rId8" Type="http://schemas.openxmlformats.org/officeDocument/2006/relationships/oleObject" Target="../embeddings/oleObject_5_7.bin" /><Relationship Id="rId9" Type="http://schemas.openxmlformats.org/officeDocument/2006/relationships/oleObject" Target="../embeddings/oleObject_5_8.bin" /><Relationship Id="rId10" Type="http://schemas.openxmlformats.org/officeDocument/2006/relationships/oleObject" Target="../embeddings/oleObject_5_9.bin" /><Relationship Id="rId11" Type="http://schemas.openxmlformats.org/officeDocument/2006/relationships/oleObject" Target="../embeddings/oleObject_5_10.bin" /><Relationship Id="rId12" Type="http://schemas.openxmlformats.org/officeDocument/2006/relationships/oleObject" Target="../embeddings/oleObject_5_11.bin" /><Relationship Id="rId13" Type="http://schemas.openxmlformats.org/officeDocument/2006/relationships/oleObject" Target="../embeddings/oleObject_5_12.bin" /><Relationship Id="rId14" Type="http://schemas.openxmlformats.org/officeDocument/2006/relationships/oleObject" Target="../embeddings/oleObject_5_13.bin" /><Relationship Id="rId15" Type="http://schemas.openxmlformats.org/officeDocument/2006/relationships/oleObject" Target="../embeddings/oleObject_5_14.bin" /><Relationship Id="rId16" Type="http://schemas.openxmlformats.org/officeDocument/2006/relationships/oleObject" Target="../embeddings/oleObject_5_15.bin" /><Relationship Id="rId17" Type="http://schemas.openxmlformats.org/officeDocument/2006/relationships/oleObject" Target="../embeddings/oleObject_5_16.bin" /><Relationship Id="rId18" Type="http://schemas.openxmlformats.org/officeDocument/2006/relationships/oleObject" Target="../embeddings/oleObject_5_17.bin" /><Relationship Id="rId19" Type="http://schemas.openxmlformats.org/officeDocument/2006/relationships/oleObject" Target="../embeddings/oleObject_5_18.bin" /><Relationship Id="rId20" Type="http://schemas.openxmlformats.org/officeDocument/2006/relationships/oleObject" Target="../embeddings/oleObject_5_19.bin" /><Relationship Id="rId21" Type="http://schemas.openxmlformats.org/officeDocument/2006/relationships/oleObject" Target="../embeddings/oleObject_5_20.bin" /><Relationship Id="rId22" Type="http://schemas.openxmlformats.org/officeDocument/2006/relationships/oleObject" Target="../embeddings/oleObject_5_21.bin" /><Relationship Id="rId23" Type="http://schemas.openxmlformats.org/officeDocument/2006/relationships/oleObject" Target="../embeddings/oleObject_5_22.bin" /><Relationship Id="rId24" Type="http://schemas.openxmlformats.org/officeDocument/2006/relationships/oleObject" Target="../embeddings/oleObject_5_23.bin" /><Relationship Id="rId25" Type="http://schemas.openxmlformats.org/officeDocument/2006/relationships/oleObject" Target="../embeddings/oleObject_5_24.bin" /><Relationship Id="rId26" Type="http://schemas.openxmlformats.org/officeDocument/2006/relationships/oleObject" Target="../embeddings/oleObject_5_25.bin" /><Relationship Id="rId27" Type="http://schemas.openxmlformats.org/officeDocument/2006/relationships/oleObject" Target="../embeddings/oleObject_5_26.bin" /><Relationship Id="rId28" Type="http://schemas.openxmlformats.org/officeDocument/2006/relationships/oleObject" Target="../embeddings/oleObject_5_27.bin" /><Relationship Id="rId29" Type="http://schemas.openxmlformats.org/officeDocument/2006/relationships/oleObject" Target="../embeddings/oleObject_5_28.bin" /><Relationship Id="rId30" Type="http://schemas.openxmlformats.org/officeDocument/2006/relationships/oleObject" Target="../embeddings/oleObject_5_29.bin" /><Relationship Id="rId31" Type="http://schemas.openxmlformats.org/officeDocument/2006/relationships/oleObject" Target="../embeddings/oleObject_5_30.bin" /><Relationship Id="rId32" Type="http://schemas.openxmlformats.org/officeDocument/2006/relationships/oleObject" Target="../embeddings/oleObject_5_31.bin" /><Relationship Id="rId33" Type="http://schemas.openxmlformats.org/officeDocument/2006/relationships/oleObject" Target="../embeddings/oleObject_5_32.bin" /><Relationship Id="rId34" Type="http://schemas.openxmlformats.org/officeDocument/2006/relationships/oleObject" Target="../embeddings/oleObject_5_33.bin" /><Relationship Id="rId35" Type="http://schemas.openxmlformats.org/officeDocument/2006/relationships/oleObject" Target="../embeddings/oleObject_5_34.bin" /><Relationship Id="rId36" Type="http://schemas.openxmlformats.org/officeDocument/2006/relationships/oleObject" Target="../embeddings/oleObject_5_35.bin" /><Relationship Id="rId37" Type="http://schemas.openxmlformats.org/officeDocument/2006/relationships/oleObject" Target="../embeddings/oleObject_5_36.bin" /><Relationship Id="rId38" Type="http://schemas.openxmlformats.org/officeDocument/2006/relationships/oleObject" Target="../embeddings/oleObject_5_37.bin" /><Relationship Id="rId39" Type="http://schemas.openxmlformats.org/officeDocument/2006/relationships/oleObject" Target="../embeddings/oleObject_5_38.bin" /><Relationship Id="rId40" Type="http://schemas.openxmlformats.org/officeDocument/2006/relationships/oleObject" Target="../embeddings/oleObject_5_39.bin" /><Relationship Id="rId41" Type="http://schemas.openxmlformats.org/officeDocument/2006/relationships/oleObject" Target="../embeddings/oleObject_5_40.bin" /><Relationship Id="rId42" Type="http://schemas.openxmlformats.org/officeDocument/2006/relationships/oleObject" Target="../embeddings/oleObject_5_41.bin" /><Relationship Id="rId43" Type="http://schemas.openxmlformats.org/officeDocument/2006/relationships/oleObject" Target="../embeddings/oleObject_5_42.bin" /><Relationship Id="rId44" Type="http://schemas.openxmlformats.org/officeDocument/2006/relationships/oleObject" Target="../embeddings/oleObject_5_43.bin" /><Relationship Id="rId45" Type="http://schemas.openxmlformats.org/officeDocument/2006/relationships/oleObject" Target="../embeddings/oleObject_5_44.bin" /><Relationship Id="rId46" Type="http://schemas.openxmlformats.org/officeDocument/2006/relationships/oleObject" Target="../embeddings/oleObject_5_45.bin" /><Relationship Id="rId47" Type="http://schemas.openxmlformats.org/officeDocument/2006/relationships/oleObject" Target="../embeddings/oleObject_5_46.bin" /><Relationship Id="rId48" Type="http://schemas.openxmlformats.org/officeDocument/2006/relationships/oleObject" Target="../embeddings/oleObject_5_47.bin" /><Relationship Id="rId49" Type="http://schemas.openxmlformats.org/officeDocument/2006/relationships/oleObject" Target="../embeddings/oleObject_5_48.bin" /><Relationship Id="rId50" Type="http://schemas.openxmlformats.org/officeDocument/2006/relationships/oleObject" Target="../embeddings/oleObject_5_49.bin" /><Relationship Id="rId51" Type="http://schemas.openxmlformats.org/officeDocument/2006/relationships/oleObject" Target="../embeddings/oleObject_5_50.bin" /><Relationship Id="rId52" Type="http://schemas.openxmlformats.org/officeDocument/2006/relationships/oleObject" Target="../embeddings/oleObject_5_51.bin" /><Relationship Id="rId53" Type="http://schemas.openxmlformats.org/officeDocument/2006/relationships/oleObject" Target="../embeddings/oleObject_5_52.bin" /><Relationship Id="rId54" Type="http://schemas.openxmlformats.org/officeDocument/2006/relationships/oleObject" Target="../embeddings/oleObject_5_53.bin" /><Relationship Id="rId55" Type="http://schemas.openxmlformats.org/officeDocument/2006/relationships/oleObject" Target="../embeddings/oleObject_5_54.bin" /><Relationship Id="rId56" Type="http://schemas.openxmlformats.org/officeDocument/2006/relationships/oleObject" Target="../embeddings/oleObject_5_55.bin" /><Relationship Id="rId57" Type="http://schemas.openxmlformats.org/officeDocument/2006/relationships/oleObject" Target="../embeddings/oleObject_5_56.bin" /><Relationship Id="rId58" Type="http://schemas.openxmlformats.org/officeDocument/2006/relationships/oleObject" Target="../embeddings/oleObject_5_57.bin" /><Relationship Id="rId59" Type="http://schemas.openxmlformats.org/officeDocument/2006/relationships/oleObject" Target="../embeddings/oleObject_5_58.bin" /><Relationship Id="rId60" Type="http://schemas.openxmlformats.org/officeDocument/2006/relationships/oleObject" Target="../embeddings/oleObject_5_59.bin" /><Relationship Id="rId61" Type="http://schemas.openxmlformats.org/officeDocument/2006/relationships/oleObject" Target="../embeddings/oleObject_5_60.bin" /><Relationship Id="rId62" Type="http://schemas.openxmlformats.org/officeDocument/2006/relationships/oleObject" Target="../embeddings/oleObject_5_61.bin" /><Relationship Id="rId63" Type="http://schemas.openxmlformats.org/officeDocument/2006/relationships/oleObject" Target="../embeddings/oleObject_5_62.bin" /><Relationship Id="rId64" Type="http://schemas.openxmlformats.org/officeDocument/2006/relationships/oleObject" Target="../embeddings/oleObject_5_63.bin" /><Relationship Id="rId65" Type="http://schemas.openxmlformats.org/officeDocument/2006/relationships/oleObject" Target="../embeddings/oleObject_5_64.bin" /><Relationship Id="rId66" Type="http://schemas.openxmlformats.org/officeDocument/2006/relationships/oleObject" Target="../embeddings/oleObject_5_65.bin" /><Relationship Id="rId67" Type="http://schemas.openxmlformats.org/officeDocument/2006/relationships/oleObject" Target="../embeddings/oleObject_5_66.bin" /><Relationship Id="rId68" Type="http://schemas.openxmlformats.org/officeDocument/2006/relationships/oleObject" Target="../embeddings/oleObject_5_67.bin" /><Relationship Id="rId69" Type="http://schemas.openxmlformats.org/officeDocument/2006/relationships/oleObject" Target="../embeddings/oleObject_5_68.bin" /><Relationship Id="rId70" Type="http://schemas.openxmlformats.org/officeDocument/2006/relationships/oleObject" Target="../embeddings/oleObject_5_69.bin" /><Relationship Id="rId71" Type="http://schemas.openxmlformats.org/officeDocument/2006/relationships/oleObject" Target="../embeddings/oleObject_5_70.bin" /><Relationship Id="rId72" Type="http://schemas.openxmlformats.org/officeDocument/2006/relationships/oleObject" Target="../embeddings/oleObject_5_71.bin" /><Relationship Id="rId73" Type="http://schemas.openxmlformats.org/officeDocument/2006/relationships/oleObject" Target="../embeddings/oleObject_5_72.bin" /><Relationship Id="rId74" Type="http://schemas.openxmlformats.org/officeDocument/2006/relationships/oleObject" Target="../embeddings/oleObject_5_73.bin" /><Relationship Id="rId75" Type="http://schemas.openxmlformats.org/officeDocument/2006/relationships/oleObject" Target="../embeddings/oleObject_5_74.bin" /><Relationship Id="rId76" Type="http://schemas.openxmlformats.org/officeDocument/2006/relationships/oleObject" Target="../embeddings/oleObject_5_75.bin" /><Relationship Id="rId77" Type="http://schemas.openxmlformats.org/officeDocument/2006/relationships/oleObject" Target="../embeddings/oleObject_5_76.bin" /><Relationship Id="rId78" Type="http://schemas.openxmlformats.org/officeDocument/2006/relationships/oleObject" Target="../embeddings/oleObject_5_77.bin" /><Relationship Id="rId79" Type="http://schemas.openxmlformats.org/officeDocument/2006/relationships/oleObject" Target="../embeddings/oleObject_5_78.bin" /><Relationship Id="rId80" Type="http://schemas.openxmlformats.org/officeDocument/2006/relationships/oleObject" Target="../embeddings/oleObject_5_79.bin" /><Relationship Id="rId81" Type="http://schemas.openxmlformats.org/officeDocument/2006/relationships/oleObject" Target="../embeddings/oleObject_5_80.bin" /><Relationship Id="rId82" Type="http://schemas.openxmlformats.org/officeDocument/2006/relationships/oleObject" Target="../embeddings/oleObject_5_81.bin" /><Relationship Id="rId83" Type="http://schemas.openxmlformats.org/officeDocument/2006/relationships/oleObject" Target="../embeddings/oleObject_5_82.bin" /><Relationship Id="rId84" Type="http://schemas.openxmlformats.org/officeDocument/2006/relationships/oleObject" Target="../embeddings/oleObject_5_83.bin" /><Relationship Id="rId85" Type="http://schemas.openxmlformats.org/officeDocument/2006/relationships/oleObject" Target="../embeddings/oleObject_5_84.bin" /><Relationship Id="rId86" Type="http://schemas.openxmlformats.org/officeDocument/2006/relationships/oleObject" Target="../embeddings/oleObject_5_85.bin" /><Relationship Id="rId87" Type="http://schemas.openxmlformats.org/officeDocument/2006/relationships/oleObject" Target="../embeddings/oleObject_5_86.bin" /><Relationship Id="rId88" Type="http://schemas.openxmlformats.org/officeDocument/2006/relationships/oleObject" Target="../embeddings/oleObject_5_87.bin" /><Relationship Id="rId89" Type="http://schemas.openxmlformats.org/officeDocument/2006/relationships/oleObject" Target="../embeddings/oleObject_5_88.bin" /><Relationship Id="rId90" Type="http://schemas.openxmlformats.org/officeDocument/2006/relationships/oleObject" Target="../embeddings/oleObject_5_89.bin" /><Relationship Id="rId91" Type="http://schemas.openxmlformats.org/officeDocument/2006/relationships/oleObject" Target="../embeddings/oleObject_5_90.bin" /><Relationship Id="rId92" Type="http://schemas.openxmlformats.org/officeDocument/2006/relationships/oleObject" Target="../embeddings/oleObject_5_91.bin" /><Relationship Id="rId93" Type="http://schemas.openxmlformats.org/officeDocument/2006/relationships/oleObject" Target="../embeddings/oleObject_5_92.bin" /><Relationship Id="rId94" Type="http://schemas.openxmlformats.org/officeDocument/2006/relationships/oleObject" Target="../embeddings/oleObject_5_93.bin" /><Relationship Id="rId95"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C27"/>
  <sheetViews>
    <sheetView showGridLines="0" showRowColHeaders="0" tabSelected="1" workbookViewId="0" topLeftCell="A1">
      <selection activeCell="C24" sqref="C24"/>
    </sheetView>
  </sheetViews>
  <sheetFormatPr defaultColWidth="9.140625" defaultRowHeight="12.75"/>
  <cols>
    <col min="1" max="2" width="11.421875" style="0" customWidth="1"/>
    <col min="3" max="3" width="142.140625" style="0" customWidth="1"/>
    <col min="4" max="16384" width="11.421875" style="0" customWidth="1"/>
  </cols>
  <sheetData>
    <row r="1" spans="1:3" ht="14.25">
      <c r="A1" s="1"/>
      <c r="B1" s="1"/>
      <c r="C1" s="1"/>
    </row>
    <row r="2" spans="1:3" ht="14.25">
      <c r="A2" s="1"/>
      <c r="B2" s="1"/>
      <c r="C2" s="1"/>
    </row>
    <row r="3" spans="1:3" ht="18">
      <c r="A3" s="1"/>
      <c r="B3" s="1"/>
      <c r="C3" s="2" t="s">
        <v>0</v>
      </c>
    </row>
    <row r="4" spans="1:3" ht="18">
      <c r="A4" s="1"/>
      <c r="B4" s="1"/>
      <c r="C4" s="2" t="s">
        <v>1</v>
      </c>
    </row>
    <row r="5" spans="1:3" ht="14.25">
      <c r="A5" s="1"/>
      <c r="B5" s="1"/>
      <c r="C5" s="3"/>
    </row>
    <row r="6" spans="1:3" ht="14.25">
      <c r="A6" s="1"/>
      <c r="B6" s="1"/>
      <c r="C6" s="3"/>
    </row>
    <row r="7" spans="1:3" ht="15.75">
      <c r="A7" s="1"/>
      <c r="B7" s="1"/>
      <c r="C7" s="3" t="s">
        <v>1750</v>
      </c>
    </row>
    <row r="8" spans="1:3" ht="14.25">
      <c r="A8" s="1"/>
      <c r="B8" s="1"/>
      <c r="C8" s="3"/>
    </row>
    <row r="9" spans="1:3" ht="14.25">
      <c r="A9" s="1"/>
      <c r="B9" s="1"/>
      <c r="C9" s="4" t="s">
        <v>1751</v>
      </c>
    </row>
    <row r="10" spans="1:3" ht="14.25">
      <c r="A10" s="1"/>
      <c r="B10" s="1"/>
      <c r="C10" s="4" t="s">
        <v>1752</v>
      </c>
    </row>
    <row r="11" spans="1:3" ht="14.25">
      <c r="A11" s="1"/>
      <c r="B11" s="1"/>
      <c r="C11" s="4" t="s">
        <v>1753</v>
      </c>
    </row>
    <row r="12" spans="1:3" ht="14.25">
      <c r="A12" s="1"/>
      <c r="B12" s="1"/>
      <c r="C12" s="4" t="s">
        <v>1754</v>
      </c>
    </row>
    <row r="13" spans="1:3" ht="14.25">
      <c r="A13" s="1"/>
      <c r="B13" s="1"/>
      <c r="C13" s="3"/>
    </row>
    <row r="14" spans="1:3" ht="14.25">
      <c r="A14" s="1"/>
      <c r="B14" s="1"/>
      <c r="C14" s="5" t="s">
        <v>2259</v>
      </c>
    </row>
    <row r="15" spans="1:3" ht="14.25">
      <c r="A15" s="1"/>
      <c r="B15" s="1"/>
      <c r="C15" s="3"/>
    </row>
    <row r="16" spans="1:3" ht="14.25">
      <c r="A16" s="1"/>
      <c r="B16" s="1"/>
      <c r="C16" s="1"/>
    </row>
    <row r="17" spans="1:3" ht="14.25">
      <c r="A17" s="1"/>
      <c r="B17" s="1"/>
      <c r="C17" s="1"/>
    </row>
    <row r="18" spans="1:3" ht="14.25">
      <c r="A18" s="1"/>
      <c r="B18" s="1"/>
      <c r="C18" s="6" t="s">
        <v>2260</v>
      </c>
    </row>
    <row r="19" spans="1:3" ht="63.75">
      <c r="A19" s="1"/>
      <c r="B19" s="1"/>
      <c r="C19" s="1323" t="s">
        <v>1388</v>
      </c>
    </row>
    <row r="20" spans="1:3" ht="5.25" customHeight="1">
      <c r="A20" s="1"/>
      <c r="B20" s="1"/>
      <c r="C20" s="1323"/>
    </row>
    <row r="21" spans="1:3" ht="40.5" customHeight="1">
      <c r="A21" s="1"/>
      <c r="B21" s="1"/>
      <c r="C21" s="1323" t="s">
        <v>2</v>
      </c>
    </row>
    <row r="22" spans="1:3" ht="14.25">
      <c r="A22" s="1"/>
      <c r="B22" s="1"/>
      <c r="C22" s="3"/>
    </row>
    <row r="23" spans="1:3" ht="14.25">
      <c r="A23" s="1"/>
      <c r="B23" s="1"/>
      <c r="C23" s="6" t="s">
        <v>1755</v>
      </c>
    </row>
    <row r="24" spans="1:3" ht="14.25">
      <c r="A24" s="1"/>
      <c r="B24" s="1"/>
      <c r="C24" s="1"/>
    </row>
    <row r="25" spans="1:3" ht="14.25">
      <c r="A25" s="1"/>
      <c r="B25" s="1"/>
      <c r="C25" s="1"/>
    </row>
    <row r="26" spans="1:3" ht="14.25">
      <c r="A26" s="1"/>
      <c r="B26" s="1"/>
      <c r="C26" s="6" t="s">
        <v>2261</v>
      </c>
    </row>
    <row r="27" spans="1:3" ht="29.25">
      <c r="A27" s="1"/>
      <c r="B27" s="1"/>
      <c r="C27" s="1327" t="s">
        <v>1386</v>
      </c>
    </row>
  </sheetData>
  <hyperlinks>
    <hyperlink ref="C14" r:id="rId1" display="mailto:Sylvie.gillot@cemagref.fr"/>
  </hyperlinks>
  <printOptions/>
  <pageMargins left="0.75" right="0.75" top="1" bottom="1" header="0.4921259845" footer="0.492125984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C91"/>
  <sheetViews>
    <sheetView zoomScale="55" zoomScaleNormal="55" workbookViewId="0" topLeftCell="A1">
      <selection activeCell="B3" sqref="B3:AC3"/>
    </sheetView>
  </sheetViews>
  <sheetFormatPr defaultColWidth="9.140625" defaultRowHeight="12.75"/>
  <cols>
    <col min="1" max="1" width="1.8515625" style="0" customWidth="1"/>
    <col min="2" max="2" width="6.28125" style="0" bestFit="1" customWidth="1"/>
    <col min="3" max="3" width="75.7109375" style="0" bestFit="1" customWidth="1"/>
    <col min="4" max="4" width="12.7109375" style="0" customWidth="1"/>
    <col min="5" max="5" width="13.28125" style="0" bestFit="1" customWidth="1"/>
    <col min="6" max="6" width="14.140625" style="0" bestFit="1" customWidth="1"/>
    <col min="7" max="7" width="9.00390625" style="0" customWidth="1"/>
    <col min="8" max="8" width="3.57421875" style="0" customWidth="1"/>
    <col min="9" max="9" width="3.00390625" style="0" customWidth="1"/>
    <col min="10" max="10" width="3.7109375" style="0" customWidth="1"/>
    <col min="11" max="11" width="27.7109375" style="0" customWidth="1"/>
    <col min="12" max="12" width="9.28125" style="0" customWidth="1"/>
    <col min="13" max="13" width="9.421875" style="0" customWidth="1"/>
    <col min="14" max="14" width="9.8515625" style="0" customWidth="1"/>
    <col min="15" max="15" width="12.140625" style="0" customWidth="1"/>
    <col min="16" max="16" width="12.421875" style="0" customWidth="1"/>
    <col min="17" max="17" width="10.140625" style="0" customWidth="1"/>
    <col min="18" max="18" width="10.7109375" style="0" customWidth="1"/>
    <col min="19" max="19" width="15.00390625" style="0" customWidth="1"/>
    <col min="20" max="20" width="14.8515625" style="0" customWidth="1"/>
    <col min="21" max="21" width="14.57421875" style="0" customWidth="1"/>
    <col min="22" max="22" width="12.140625" style="0" customWidth="1"/>
    <col min="23" max="23" width="17.8515625" style="0" customWidth="1"/>
    <col min="24" max="24" width="27.00390625" style="0" customWidth="1"/>
    <col min="25" max="25" width="12.7109375" style="0" customWidth="1"/>
    <col min="26" max="26" width="20.00390625" style="0" customWidth="1"/>
    <col min="27" max="27" width="16.00390625" style="0" bestFit="1" customWidth="1"/>
    <col min="28" max="28" width="13.421875" style="0" bestFit="1" customWidth="1"/>
    <col min="29" max="29" width="22.421875" style="0" customWidth="1"/>
    <col min="30" max="16384" width="11.421875" style="0" customWidth="1"/>
  </cols>
  <sheetData>
    <row r="1" spans="1:29" ht="14.25">
      <c r="A1" s="7"/>
      <c r="B1" s="7"/>
      <c r="C1" s="7"/>
      <c r="D1" s="8"/>
      <c r="E1" s="8"/>
      <c r="F1" s="8"/>
      <c r="G1" s="8"/>
      <c r="H1" s="7"/>
      <c r="I1" s="7"/>
      <c r="J1" s="8"/>
      <c r="K1" s="8"/>
      <c r="L1" s="8"/>
      <c r="M1" s="8"/>
      <c r="N1" s="8"/>
      <c r="O1" s="8"/>
      <c r="P1" s="8"/>
      <c r="Q1" s="8"/>
      <c r="R1" s="8"/>
      <c r="S1" s="8"/>
      <c r="T1" s="8"/>
      <c r="U1" s="8"/>
      <c r="V1" s="8"/>
      <c r="W1" s="8"/>
      <c r="X1" s="8"/>
      <c r="Y1" s="9"/>
      <c r="Z1" s="9"/>
      <c r="AA1" s="9"/>
      <c r="AB1" s="9"/>
      <c r="AC1" s="9"/>
    </row>
    <row r="2" spans="1:29" ht="15" thickBot="1">
      <c r="A2" s="7"/>
      <c r="B2" s="7"/>
      <c r="C2" s="7"/>
      <c r="D2" s="8"/>
      <c r="E2" s="8"/>
      <c r="F2" s="8"/>
      <c r="G2" s="8"/>
      <c r="H2" s="7"/>
      <c r="I2" s="7"/>
      <c r="J2" s="8"/>
      <c r="K2" s="8"/>
      <c r="L2" s="8"/>
      <c r="M2" s="8"/>
      <c r="N2" s="8"/>
      <c r="O2" s="8"/>
      <c r="P2" s="8"/>
      <c r="Q2" s="8"/>
      <c r="R2" s="8"/>
      <c r="S2" s="8"/>
      <c r="T2" s="8"/>
      <c r="U2" s="8"/>
      <c r="V2" s="8"/>
      <c r="W2" s="8"/>
      <c r="X2" s="8"/>
      <c r="Y2" s="9"/>
      <c r="Z2" s="9"/>
      <c r="AA2" s="9"/>
      <c r="AB2" s="9"/>
      <c r="AC2" s="9"/>
    </row>
    <row r="3" spans="1:29" ht="34.5" thickBot="1">
      <c r="A3" s="7"/>
      <c r="B3" s="1325" t="s">
        <v>2262</v>
      </c>
      <c r="C3" s="1356"/>
      <c r="D3" s="1356"/>
      <c r="E3" s="1356"/>
      <c r="F3" s="1356"/>
      <c r="G3" s="1356"/>
      <c r="H3" s="1356"/>
      <c r="I3" s="1356"/>
      <c r="J3" s="1356"/>
      <c r="K3" s="1356"/>
      <c r="L3" s="1356"/>
      <c r="M3" s="1356"/>
      <c r="N3" s="1356"/>
      <c r="O3" s="1356"/>
      <c r="P3" s="1356"/>
      <c r="Q3" s="1356"/>
      <c r="R3" s="1356"/>
      <c r="S3" s="1356"/>
      <c r="T3" s="1356"/>
      <c r="U3" s="1356"/>
      <c r="V3" s="1356"/>
      <c r="W3" s="1356"/>
      <c r="X3" s="1356"/>
      <c r="Y3" s="1356"/>
      <c r="Z3" s="1356"/>
      <c r="AA3" s="1356"/>
      <c r="AB3" s="1356"/>
      <c r="AC3" s="1357"/>
    </row>
    <row r="4" spans="1:29" ht="15" thickBot="1">
      <c r="A4" s="7"/>
      <c r="B4" s="7"/>
      <c r="C4" s="7"/>
      <c r="D4" s="8"/>
      <c r="E4" s="8"/>
      <c r="F4" s="8"/>
      <c r="G4" s="8"/>
      <c r="H4" s="7"/>
      <c r="I4" s="7"/>
      <c r="J4" s="8"/>
      <c r="K4" s="8"/>
      <c r="L4" s="8"/>
      <c r="M4" s="8"/>
      <c r="N4" s="8"/>
      <c r="O4" s="8"/>
      <c r="P4" s="8"/>
      <c r="Q4" s="8"/>
      <c r="R4" s="8"/>
      <c r="S4" s="8"/>
      <c r="T4" s="8"/>
      <c r="U4" s="8"/>
      <c r="V4" s="8"/>
      <c r="W4" s="8"/>
      <c r="X4" s="8"/>
      <c r="Y4" s="9"/>
      <c r="Z4" s="9"/>
      <c r="AA4" s="9"/>
      <c r="AB4" s="9"/>
      <c r="AC4" s="9"/>
    </row>
    <row r="5" spans="1:29" ht="30.75" thickBot="1">
      <c r="A5" s="7"/>
      <c r="B5" s="1331" t="s">
        <v>2263</v>
      </c>
      <c r="C5" s="1332"/>
      <c r="D5" s="1332"/>
      <c r="E5" s="1332"/>
      <c r="F5" s="1332"/>
      <c r="G5" s="1333"/>
      <c r="H5" s="7"/>
      <c r="I5" s="7"/>
      <c r="J5" s="8"/>
      <c r="K5" s="1352" t="s">
        <v>2264</v>
      </c>
      <c r="L5" s="1358"/>
      <c r="M5" s="1359" t="s">
        <v>2265</v>
      </c>
      <c r="N5" s="1360"/>
      <c r="O5" s="1360"/>
      <c r="P5" s="1360"/>
      <c r="Q5" s="1360"/>
      <c r="R5" s="1360"/>
      <c r="S5" s="1360"/>
      <c r="T5" s="1360"/>
      <c r="U5" s="1360"/>
      <c r="V5" s="1360"/>
      <c r="W5" s="1360"/>
      <c r="X5" s="1360"/>
      <c r="Y5" s="1361"/>
      <c r="Z5" s="10"/>
      <c r="AA5" s="10"/>
      <c r="AB5" s="10"/>
      <c r="AC5" s="10"/>
    </row>
    <row r="6" spans="1:29" ht="15" thickBot="1">
      <c r="A6" s="11"/>
      <c r="B6" s="7"/>
      <c r="C6" s="7"/>
      <c r="D6" s="8"/>
      <c r="E6" s="8"/>
      <c r="F6" s="8"/>
      <c r="G6" s="8"/>
      <c r="H6" s="7"/>
      <c r="I6" s="11"/>
      <c r="J6" s="8"/>
      <c r="K6" s="12"/>
      <c r="L6" s="12"/>
      <c r="M6" s="12"/>
      <c r="N6" s="12"/>
      <c r="O6" s="12"/>
      <c r="P6" s="12"/>
      <c r="Q6" s="8"/>
      <c r="R6" s="8"/>
      <c r="S6" s="8"/>
      <c r="T6" s="8"/>
      <c r="U6" s="8"/>
      <c r="V6" s="8"/>
      <c r="W6" s="8"/>
      <c r="X6" s="8"/>
      <c r="Y6" s="9"/>
      <c r="Z6" s="9"/>
      <c r="AA6" s="9"/>
      <c r="AB6" s="9"/>
      <c r="AC6" s="9"/>
    </row>
    <row r="7" spans="1:29" ht="18.75" thickBot="1">
      <c r="A7" s="7"/>
      <c r="B7" s="1330" t="s">
        <v>2266</v>
      </c>
      <c r="C7" s="1330"/>
      <c r="D7" s="1330"/>
      <c r="E7" s="1330"/>
      <c r="F7" s="1330"/>
      <c r="G7" s="1330"/>
      <c r="H7" s="11"/>
      <c r="I7" s="7"/>
      <c r="J7" s="8"/>
      <c r="K7" s="1352" t="s">
        <v>2267</v>
      </c>
      <c r="L7" s="1353"/>
      <c r="M7" s="1354" t="s">
        <v>2268</v>
      </c>
      <c r="N7" s="1355"/>
      <c r="O7" s="1355"/>
      <c r="P7" s="1355"/>
      <c r="Q7" s="1355"/>
      <c r="R7" s="1355"/>
      <c r="S7" s="1326"/>
      <c r="T7" s="8"/>
      <c r="U7" s="8"/>
      <c r="V7" s="8"/>
      <c r="W7" s="8"/>
      <c r="X7" s="8"/>
      <c r="Y7" s="9"/>
      <c r="Z7" s="9"/>
      <c r="AA7" s="9"/>
      <c r="AB7" s="9"/>
      <c r="AC7" s="9"/>
    </row>
    <row r="8" spans="1:29" ht="15" thickBot="1">
      <c r="A8" s="7"/>
      <c r="B8" s="1330"/>
      <c r="C8" s="1330"/>
      <c r="D8" s="1330"/>
      <c r="E8" s="1330"/>
      <c r="F8" s="1330"/>
      <c r="G8" s="1330"/>
      <c r="H8" s="11"/>
      <c r="I8" s="7"/>
      <c r="J8" s="8"/>
      <c r="K8" s="8"/>
      <c r="L8" s="8"/>
      <c r="M8" s="8"/>
      <c r="N8" s="8"/>
      <c r="O8" s="8"/>
      <c r="P8" s="8"/>
      <c r="Q8" s="8"/>
      <c r="R8" s="8"/>
      <c r="S8" s="8"/>
      <c r="T8" s="8"/>
      <c r="U8" s="8"/>
      <c r="V8" s="8"/>
      <c r="W8" s="8"/>
      <c r="X8" s="8"/>
      <c r="Y8" s="9"/>
      <c r="Z8" s="9"/>
      <c r="AA8" s="9"/>
      <c r="AB8" s="9"/>
      <c r="AC8" s="9"/>
    </row>
    <row r="9" spans="1:29" ht="30.75" thickBot="1">
      <c r="A9" s="7"/>
      <c r="B9" s="1324" t="s">
        <v>1387</v>
      </c>
      <c r="C9" s="1324"/>
      <c r="D9" s="1324"/>
      <c r="E9" s="1324"/>
      <c r="F9" s="1324"/>
      <c r="G9" s="1324"/>
      <c r="H9" s="11"/>
      <c r="I9" s="7"/>
      <c r="J9" s="1331" t="s">
        <v>2269</v>
      </c>
      <c r="K9" s="1332"/>
      <c r="L9" s="1332"/>
      <c r="M9" s="1332"/>
      <c r="N9" s="1332"/>
      <c r="O9" s="1332"/>
      <c r="P9" s="1332"/>
      <c r="Q9" s="1332"/>
      <c r="R9" s="1332"/>
      <c r="S9" s="1332"/>
      <c r="T9" s="1332"/>
      <c r="U9" s="1332"/>
      <c r="V9" s="1332"/>
      <c r="W9" s="1332"/>
      <c r="X9" s="1332"/>
      <c r="Y9" s="1332"/>
      <c r="Z9" s="1332"/>
      <c r="AA9" s="1332"/>
      <c r="AB9" s="1332"/>
      <c r="AC9" s="1333"/>
    </row>
    <row r="10" spans="1:29" ht="15" thickBot="1">
      <c r="A10" s="7"/>
      <c r="B10" s="7"/>
      <c r="C10" s="7"/>
      <c r="D10" s="8"/>
      <c r="E10" s="8"/>
      <c r="F10" s="8"/>
      <c r="G10" s="8"/>
      <c r="H10" s="11"/>
      <c r="I10" s="7"/>
      <c r="J10" s="8"/>
      <c r="K10" s="8"/>
      <c r="L10" s="8"/>
      <c r="M10" s="8"/>
      <c r="N10" s="8"/>
      <c r="O10" s="8"/>
      <c r="P10" s="8"/>
      <c r="Q10" s="8"/>
      <c r="R10" s="8"/>
      <c r="S10" s="8"/>
      <c r="T10" s="8"/>
      <c r="U10" s="8"/>
      <c r="V10" s="8"/>
      <c r="W10" s="8"/>
      <c r="X10" s="8"/>
      <c r="Y10" s="9"/>
      <c r="Z10" s="9"/>
      <c r="AA10" s="9"/>
      <c r="AB10" s="9"/>
      <c r="AC10" s="9"/>
    </row>
    <row r="11" spans="1:29" ht="29.25" thickBot="1">
      <c r="A11" s="7"/>
      <c r="B11" s="7"/>
      <c r="C11" s="13"/>
      <c r="D11" s="14" t="s">
        <v>2270</v>
      </c>
      <c r="E11" s="15" t="s">
        <v>2271</v>
      </c>
      <c r="F11" s="16" t="s">
        <v>2272</v>
      </c>
      <c r="G11" s="15" t="s">
        <v>2273</v>
      </c>
      <c r="H11" s="11"/>
      <c r="I11" s="7"/>
      <c r="J11" s="17"/>
      <c r="K11" s="18"/>
      <c r="L11" s="19" t="s">
        <v>2274</v>
      </c>
      <c r="M11" s="19" t="s">
        <v>2275</v>
      </c>
      <c r="N11" s="19" t="s">
        <v>2276</v>
      </c>
      <c r="O11" s="19" t="s">
        <v>2277</v>
      </c>
      <c r="P11" s="19" t="s">
        <v>2278</v>
      </c>
      <c r="Q11" s="19" t="s">
        <v>2279</v>
      </c>
      <c r="R11" s="19" t="s">
        <v>2280</v>
      </c>
      <c r="S11" s="19" t="s">
        <v>2281</v>
      </c>
      <c r="T11" s="19" t="s">
        <v>2282</v>
      </c>
      <c r="U11" s="19" t="s">
        <v>2283</v>
      </c>
      <c r="V11" s="19" t="s">
        <v>2284</v>
      </c>
      <c r="W11" s="19" t="s">
        <v>2285</v>
      </c>
      <c r="X11" s="19" t="s">
        <v>2286</v>
      </c>
      <c r="Y11" s="20" t="s">
        <v>2287</v>
      </c>
      <c r="Z11" s="1349" t="s">
        <v>2288</v>
      </c>
      <c r="AA11" s="1350"/>
      <c r="AB11" s="1350"/>
      <c r="AC11" s="1351"/>
    </row>
    <row r="12" spans="1:29" ht="30">
      <c r="A12" s="7"/>
      <c r="B12" s="1335" t="s">
        <v>2289</v>
      </c>
      <c r="C12" s="21" t="s">
        <v>2290</v>
      </c>
      <c r="D12" s="22" t="s">
        <v>2291</v>
      </c>
      <c r="E12" s="23" t="s">
        <v>2292</v>
      </c>
      <c r="F12" s="24" t="s">
        <v>2293</v>
      </c>
      <c r="G12" s="25"/>
      <c r="H12" s="11"/>
      <c r="I12" s="7"/>
      <c r="J12" s="26">
        <v>1</v>
      </c>
      <c r="K12" s="27" t="s">
        <v>2294</v>
      </c>
      <c r="L12" s="28"/>
      <c r="M12" s="29" t="s">
        <v>1756</v>
      </c>
      <c r="N12" s="28"/>
      <c r="O12" s="28"/>
      <c r="P12" s="28">
        <v>1</v>
      </c>
      <c r="Q12" s="28"/>
      <c r="R12" s="28"/>
      <c r="S12" s="29" t="s">
        <v>1757</v>
      </c>
      <c r="T12" s="28"/>
      <c r="U12" s="29" t="s">
        <v>1758</v>
      </c>
      <c r="V12" s="28"/>
      <c r="W12" s="28"/>
      <c r="X12" s="30" t="s">
        <v>1759</v>
      </c>
      <c r="Y12" s="31"/>
      <c r="Z12" s="1338" t="s">
        <v>1760</v>
      </c>
      <c r="AA12" s="1339"/>
      <c r="AB12" s="1339"/>
      <c r="AC12" s="1340"/>
    </row>
    <row r="13" spans="1:29" ht="54">
      <c r="A13" s="7"/>
      <c r="B13" s="1336"/>
      <c r="C13" s="32" t="s">
        <v>2295</v>
      </c>
      <c r="D13" s="33" t="s">
        <v>2296</v>
      </c>
      <c r="E13" s="23" t="s">
        <v>2297</v>
      </c>
      <c r="F13" s="34" t="s">
        <v>2293</v>
      </c>
      <c r="G13" s="35"/>
      <c r="H13" s="11"/>
      <c r="I13" s="7"/>
      <c r="J13" s="26">
        <v>2</v>
      </c>
      <c r="K13" s="27" t="s">
        <v>2298</v>
      </c>
      <c r="L13" s="28"/>
      <c r="M13" s="29" t="s">
        <v>1756</v>
      </c>
      <c r="N13" s="28"/>
      <c r="O13" s="28"/>
      <c r="P13" s="28">
        <v>1</v>
      </c>
      <c r="Q13" s="28"/>
      <c r="R13" s="28"/>
      <c r="S13" s="29"/>
      <c r="T13" s="29" t="s">
        <v>1019</v>
      </c>
      <c r="U13" s="29" t="s">
        <v>1758</v>
      </c>
      <c r="V13" s="28"/>
      <c r="W13" s="28"/>
      <c r="X13" s="30" t="s">
        <v>1020</v>
      </c>
      <c r="Y13" s="31" t="s">
        <v>1021</v>
      </c>
      <c r="Z13" s="1338" t="s">
        <v>1022</v>
      </c>
      <c r="AA13" s="1339"/>
      <c r="AB13" s="1339"/>
      <c r="AC13" s="1340"/>
    </row>
    <row r="14" spans="1:29" ht="54">
      <c r="A14" s="7"/>
      <c r="B14" s="1336"/>
      <c r="C14" s="32" t="s">
        <v>2299</v>
      </c>
      <c r="D14" s="33" t="s">
        <v>2300</v>
      </c>
      <c r="E14" s="36" t="s">
        <v>2301</v>
      </c>
      <c r="F14" s="37" t="s">
        <v>2302</v>
      </c>
      <c r="G14" s="35"/>
      <c r="H14" s="11"/>
      <c r="I14" s="7"/>
      <c r="J14" s="38">
        <v>3</v>
      </c>
      <c r="K14" s="39" t="s">
        <v>2303</v>
      </c>
      <c r="L14" s="40"/>
      <c r="M14" s="40"/>
      <c r="N14" s="40"/>
      <c r="O14" s="40"/>
      <c r="P14" s="40"/>
      <c r="Q14" s="40">
        <v>1</v>
      </c>
      <c r="R14" s="40"/>
      <c r="S14" s="41" t="s">
        <v>1023</v>
      </c>
      <c r="T14" s="41" t="s">
        <v>1024</v>
      </c>
      <c r="U14" s="41" t="s">
        <v>1025</v>
      </c>
      <c r="V14" s="40"/>
      <c r="W14" s="40"/>
      <c r="X14" s="41" t="s">
        <v>1026</v>
      </c>
      <c r="Y14" s="42"/>
      <c r="Z14" s="1338" t="s">
        <v>1027</v>
      </c>
      <c r="AA14" s="1339"/>
      <c r="AB14" s="1339"/>
      <c r="AC14" s="1340"/>
    </row>
    <row r="15" spans="1:29" ht="19.5">
      <c r="A15" s="7"/>
      <c r="B15" s="1336"/>
      <c r="C15" s="21" t="s">
        <v>2304</v>
      </c>
      <c r="D15" s="43" t="s">
        <v>2305</v>
      </c>
      <c r="E15" s="36" t="s">
        <v>2306</v>
      </c>
      <c r="F15" s="34" t="s">
        <v>2293</v>
      </c>
      <c r="G15" s="25"/>
      <c r="H15" s="11"/>
      <c r="I15" s="7"/>
      <c r="J15" s="44">
        <v>4</v>
      </c>
      <c r="K15" s="45" t="s">
        <v>2307</v>
      </c>
      <c r="L15" s="28"/>
      <c r="M15" s="28"/>
      <c r="N15" s="28"/>
      <c r="O15" s="46" t="s">
        <v>1028</v>
      </c>
      <c r="P15" s="28">
        <v>-1</v>
      </c>
      <c r="Q15" s="28"/>
      <c r="R15" s="47" t="s">
        <v>2308</v>
      </c>
      <c r="S15" s="28"/>
      <c r="T15" s="28"/>
      <c r="U15" s="28"/>
      <c r="V15" s="28"/>
      <c r="W15" s="47" t="s">
        <v>1029</v>
      </c>
      <c r="X15" s="28"/>
      <c r="Y15" s="48"/>
      <c r="Z15" s="1338" t="s">
        <v>1030</v>
      </c>
      <c r="AA15" s="1339"/>
      <c r="AB15" s="1339"/>
      <c r="AC15" s="1340"/>
    </row>
    <row r="16" spans="1:29" ht="19.5">
      <c r="A16" s="7"/>
      <c r="B16" s="1336"/>
      <c r="C16" s="32" t="s">
        <v>2309</v>
      </c>
      <c r="D16" s="33" t="s">
        <v>2310</v>
      </c>
      <c r="E16" s="36" t="s">
        <v>2311</v>
      </c>
      <c r="F16" s="34" t="s">
        <v>2293</v>
      </c>
      <c r="G16" s="35"/>
      <c r="H16" s="11"/>
      <c r="I16" s="7"/>
      <c r="J16" s="38">
        <v>5</v>
      </c>
      <c r="K16" s="39" t="s">
        <v>2312</v>
      </c>
      <c r="L16" s="40"/>
      <c r="M16" s="40"/>
      <c r="N16" s="40"/>
      <c r="O16" s="49" t="s">
        <v>1028</v>
      </c>
      <c r="P16" s="40"/>
      <c r="Q16" s="40">
        <v>-1</v>
      </c>
      <c r="R16" s="50" t="s">
        <v>2308</v>
      </c>
      <c r="S16" s="40"/>
      <c r="T16" s="40"/>
      <c r="U16" s="40"/>
      <c r="V16" s="40"/>
      <c r="W16" s="50" t="s">
        <v>1029</v>
      </c>
      <c r="X16" s="40"/>
      <c r="Y16" s="51"/>
      <c r="Z16" s="1338" t="s">
        <v>1031</v>
      </c>
      <c r="AA16" s="1339"/>
      <c r="AB16" s="1339"/>
      <c r="AC16" s="1340"/>
    </row>
    <row r="17" spans="1:29" ht="30">
      <c r="A17" s="7"/>
      <c r="B17" s="1336"/>
      <c r="C17" s="32" t="s">
        <v>2313</v>
      </c>
      <c r="D17" s="33" t="s">
        <v>2314</v>
      </c>
      <c r="E17" s="36" t="s">
        <v>2315</v>
      </c>
      <c r="F17" s="34" t="s">
        <v>2293</v>
      </c>
      <c r="G17" s="35"/>
      <c r="H17" s="11"/>
      <c r="I17" s="7"/>
      <c r="J17" s="52">
        <v>6</v>
      </c>
      <c r="K17" s="53" t="s">
        <v>2316</v>
      </c>
      <c r="L17" s="54"/>
      <c r="M17" s="54"/>
      <c r="N17" s="54"/>
      <c r="O17" s="54"/>
      <c r="P17" s="54"/>
      <c r="Q17" s="54"/>
      <c r="R17" s="54"/>
      <c r="S17" s="54"/>
      <c r="T17" s="54"/>
      <c r="U17" s="54">
        <v>1</v>
      </c>
      <c r="V17" s="54">
        <v>-1</v>
      </c>
      <c r="W17" s="54"/>
      <c r="X17" s="55" t="s">
        <v>2317</v>
      </c>
      <c r="Y17" s="56"/>
      <c r="Z17" s="1338" t="s">
        <v>1032</v>
      </c>
      <c r="AA17" s="1339"/>
      <c r="AB17" s="1339"/>
      <c r="AC17" s="1340"/>
    </row>
    <row r="18" spans="1:29" ht="30">
      <c r="A18" s="7"/>
      <c r="B18" s="1336"/>
      <c r="C18" s="21" t="s">
        <v>1033</v>
      </c>
      <c r="D18" s="43" t="s">
        <v>2318</v>
      </c>
      <c r="E18" s="36" t="s">
        <v>2319</v>
      </c>
      <c r="F18" s="34" t="s">
        <v>2320</v>
      </c>
      <c r="G18" s="25"/>
      <c r="H18" s="11"/>
      <c r="I18" s="7"/>
      <c r="J18" s="52">
        <v>7</v>
      </c>
      <c r="K18" s="53" t="s">
        <v>2321</v>
      </c>
      <c r="L18" s="54"/>
      <c r="M18" s="54">
        <v>1</v>
      </c>
      <c r="N18" s="54"/>
      <c r="O18" s="54">
        <v>-1</v>
      </c>
      <c r="P18" s="54"/>
      <c r="Q18" s="54"/>
      <c r="R18" s="54"/>
      <c r="S18" s="54"/>
      <c r="T18" s="54"/>
      <c r="U18" s="54"/>
      <c r="V18" s="54"/>
      <c r="W18" s="54"/>
      <c r="X18" s="54"/>
      <c r="Y18" s="57"/>
      <c r="Z18" s="1338" t="s">
        <v>1034</v>
      </c>
      <c r="AA18" s="1339"/>
      <c r="AB18" s="1339"/>
      <c r="AC18" s="1340"/>
    </row>
    <row r="19" spans="1:29" ht="30.75" thickBot="1">
      <c r="A19" s="7"/>
      <c r="B19" s="1336"/>
      <c r="C19" s="58" t="s">
        <v>1035</v>
      </c>
      <c r="D19" s="33" t="s">
        <v>2322</v>
      </c>
      <c r="E19" s="36" t="s">
        <v>2323</v>
      </c>
      <c r="F19" s="34" t="s">
        <v>2320</v>
      </c>
      <c r="G19" s="35"/>
      <c r="H19" s="11"/>
      <c r="I19" s="7"/>
      <c r="J19" s="59">
        <v>8</v>
      </c>
      <c r="K19" s="60" t="s">
        <v>2324</v>
      </c>
      <c r="L19" s="61"/>
      <c r="M19" s="61"/>
      <c r="N19" s="61"/>
      <c r="O19" s="61"/>
      <c r="P19" s="61"/>
      <c r="Q19" s="61"/>
      <c r="R19" s="61"/>
      <c r="S19" s="61"/>
      <c r="T19" s="61"/>
      <c r="U19" s="61"/>
      <c r="V19" s="61">
        <v>1</v>
      </c>
      <c r="W19" s="61">
        <v>-1</v>
      </c>
      <c r="X19" s="61"/>
      <c r="Y19" s="62"/>
      <c r="Z19" s="1341" t="s">
        <v>1036</v>
      </c>
      <c r="AA19" s="1342"/>
      <c r="AB19" s="1342"/>
      <c r="AC19" s="1343"/>
    </row>
    <row r="20" spans="1:29" ht="20.25" thickBot="1">
      <c r="A20" s="7"/>
      <c r="B20" s="1336"/>
      <c r="C20" s="32" t="s">
        <v>2325</v>
      </c>
      <c r="D20" s="33" t="s">
        <v>2326</v>
      </c>
      <c r="E20" s="36" t="s">
        <v>2327</v>
      </c>
      <c r="F20" s="34" t="s">
        <v>2320</v>
      </c>
      <c r="G20" s="35"/>
      <c r="H20" s="11"/>
      <c r="I20" s="7"/>
      <c r="J20" s="8"/>
      <c r="K20" s="1344" t="s">
        <v>2328</v>
      </c>
      <c r="L20" s="1345"/>
      <c r="M20" s="1345"/>
      <c r="N20" s="1345"/>
      <c r="O20" s="1345"/>
      <c r="P20" s="1345"/>
      <c r="Q20" s="1345"/>
      <c r="R20" s="1345"/>
      <c r="S20" s="1345"/>
      <c r="T20" s="1345"/>
      <c r="U20" s="1345"/>
      <c r="V20" s="1345"/>
      <c r="W20" s="1345"/>
      <c r="X20" s="1345"/>
      <c r="Y20" s="1346"/>
      <c r="Z20" s="9"/>
      <c r="AA20" s="9"/>
      <c r="AB20" s="9"/>
      <c r="AC20" s="9"/>
    </row>
    <row r="21" spans="1:29" ht="19.5">
      <c r="A21" s="7"/>
      <c r="B21" s="1336"/>
      <c r="C21" s="21" t="s">
        <v>2329</v>
      </c>
      <c r="D21" s="43" t="s">
        <v>2330</v>
      </c>
      <c r="E21" s="36" t="s">
        <v>2331</v>
      </c>
      <c r="F21" s="34" t="s">
        <v>2320</v>
      </c>
      <c r="G21" s="25"/>
      <c r="H21" s="11"/>
      <c r="I21" s="7"/>
      <c r="J21" s="8"/>
      <c r="K21" s="63" t="s">
        <v>2332</v>
      </c>
      <c r="L21" s="64">
        <v>1</v>
      </c>
      <c r="M21" s="65">
        <v>1</v>
      </c>
      <c r="N21" s="65">
        <v>1</v>
      </c>
      <c r="O21" s="65">
        <v>1</v>
      </c>
      <c r="P21" s="65">
        <v>1</v>
      </c>
      <c r="Q21" s="65">
        <v>1</v>
      </c>
      <c r="R21" s="65">
        <v>1</v>
      </c>
      <c r="S21" s="65">
        <v>-1</v>
      </c>
      <c r="T21" s="66" t="s">
        <v>2333</v>
      </c>
      <c r="U21" s="65">
        <v>0</v>
      </c>
      <c r="V21" s="65">
        <v>0</v>
      </c>
      <c r="W21" s="65">
        <v>0</v>
      </c>
      <c r="X21" s="65">
        <v>0</v>
      </c>
      <c r="Y21" s="67" t="s">
        <v>2334</v>
      </c>
      <c r="Z21" s="9"/>
      <c r="AA21" s="9"/>
      <c r="AB21" s="9"/>
      <c r="AC21" s="9"/>
    </row>
    <row r="22" spans="1:29" ht="19.5">
      <c r="A22" s="7"/>
      <c r="B22" s="1336"/>
      <c r="C22" s="32" t="s">
        <v>2335</v>
      </c>
      <c r="D22" s="33" t="s">
        <v>2336</v>
      </c>
      <c r="E22" s="36" t="s">
        <v>2337</v>
      </c>
      <c r="F22" s="34" t="s">
        <v>2293</v>
      </c>
      <c r="G22" s="35"/>
      <c r="H22" s="7"/>
      <c r="I22" s="7"/>
      <c r="J22" s="8"/>
      <c r="K22" s="68" t="s">
        <v>2338</v>
      </c>
      <c r="L22" s="69">
        <v>0</v>
      </c>
      <c r="M22" s="69">
        <v>0</v>
      </c>
      <c r="N22" s="69">
        <v>0</v>
      </c>
      <c r="O22" s="69">
        <v>0</v>
      </c>
      <c r="P22" s="70" t="s">
        <v>2339</v>
      </c>
      <c r="Q22" s="70" t="s">
        <v>2339</v>
      </c>
      <c r="R22" s="70" t="s">
        <v>2340</v>
      </c>
      <c r="S22" s="69">
        <v>0</v>
      </c>
      <c r="T22" s="69">
        <v>1</v>
      </c>
      <c r="U22" s="69">
        <v>1</v>
      </c>
      <c r="V22" s="69">
        <v>1</v>
      </c>
      <c r="W22" s="69">
        <v>1</v>
      </c>
      <c r="X22" s="69">
        <v>0</v>
      </c>
      <c r="Y22" s="71">
        <v>1</v>
      </c>
      <c r="Z22" s="9"/>
      <c r="AA22" s="9"/>
      <c r="AB22" s="9"/>
      <c r="AC22" s="9"/>
    </row>
    <row r="23" spans="1:29" ht="20.25" thickBot="1">
      <c r="A23" s="7"/>
      <c r="B23" s="1336"/>
      <c r="C23" s="32" t="s">
        <v>2341</v>
      </c>
      <c r="D23" s="33" t="s">
        <v>2342</v>
      </c>
      <c r="E23" s="36" t="s">
        <v>2343</v>
      </c>
      <c r="F23" s="34" t="s">
        <v>2293</v>
      </c>
      <c r="G23" s="35"/>
      <c r="H23" s="7"/>
      <c r="I23" s="7"/>
      <c r="J23" s="8"/>
      <c r="K23" s="72" t="s">
        <v>2344</v>
      </c>
      <c r="L23" s="73">
        <v>0</v>
      </c>
      <c r="M23" s="73">
        <v>0</v>
      </c>
      <c r="N23" s="73">
        <v>0</v>
      </c>
      <c r="O23" s="73">
        <v>0</v>
      </c>
      <c r="P23" s="73">
        <v>0</v>
      </c>
      <c r="Q23" s="73">
        <v>0</v>
      </c>
      <c r="R23" s="73">
        <v>0</v>
      </c>
      <c r="S23" s="73">
        <v>0</v>
      </c>
      <c r="T23" s="74" t="s">
        <v>2345</v>
      </c>
      <c r="U23" s="74" t="s">
        <v>2346</v>
      </c>
      <c r="V23" s="73">
        <v>0</v>
      </c>
      <c r="W23" s="73">
        <v>0</v>
      </c>
      <c r="X23" s="73">
        <v>-1</v>
      </c>
      <c r="Y23" s="75">
        <v>0</v>
      </c>
      <c r="Z23" s="9"/>
      <c r="AA23" s="9"/>
      <c r="AB23" s="9"/>
      <c r="AC23" s="9"/>
    </row>
    <row r="24" spans="1:29" ht="20.25" thickBot="1">
      <c r="A24" s="7"/>
      <c r="B24" s="1337"/>
      <c r="C24" s="76" t="s">
        <v>1037</v>
      </c>
      <c r="D24" s="77" t="s">
        <v>2347</v>
      </c>
      <c r="E24" s="78" t="s">
        <v>2348</v>
      </c>
      <c r="F24" s="79" t="s">
        <v>1038</v>
      </c>
      <c r="G24" s="80"/>
      <c r="H24" s="7"/>
      <c r="I24" s="7"/>
      <c r="J24" s="8"/>
      <c r="K24" s="8"/>
      <c r="L24" s="8"/>
      <c r="M24" s="8"/>
      <c r="N24" s="8"/>
      <c r="O24" s="8"/>
      <c r="P24" s="8"/>
      <c r="Q24" s="8"/>
      <c r="R24" s="8"/>
      <c r="S24" s="8"/>
      <c r="T24" s="8"/>
      <c r="U24" s="8"/>
      <c r="V24" s="8"/>
      <c r="W24" s="8"/>
      <c r="X24" s="9"/>
      <c r="Y24" s="9"/>
      <c r="Z24" s="9"/>
      <c r="AA24" s="9"/>
      <c r="AB24" s="9"/>
      <c r="AC24" s="9"/>
    </row>
    <row r="25" spans="1:29" ht="20.25" thickBot="1">
      <c r="A25" s="7"/>
      <c r="B25" s="1335" t="s">
        <v>2349</v>
      </c>
      <c r="C25" s="81" t="s">
        <v>1039</v>
      </c>
      <c r="D25" s="82" t="s">
        <v>2350</v>
      </c>
      <c r="E25" s="83" t="s">
        <v>2351</v>
      </c>
      <c r="F25" s="84" t="s">
        <v>1040</v>
      </c>
      <c r="G25" s="85">
        <v>0.67</v>
      </c>
      <c r="H25" s="7"/>
      <c r="I25" s="7"/>
      <c r="J25" s="8"/>
      <c r="K25" s="8"/>
      <c r="L25" s="8"/>
      <c r="M25" s="8"/>
      <c r="N25" s="8"/>
      <c r="O25" s="8"/>
      <c r="P25" s="8"/>
      <c r="Q25" s="8"/>
      <c r="R25" s="8"/>
      <c r="S25" s="8"/>
      <c r="T25" s="8"/>
      <c r="U25" s="8"/>
      <c r="V25" s="8"/>
      <c r="W25" s="8"/>
      <c r="X25" s="9"/>
      <c r="Y25" s="9"/>
      <c r="Z25" s="9"/>
      <c r="AA25" s="9"/>
      <c r="AB25" s="9"/>
      <c r="AC25" s="9"/>
    </row>
    <row r="26" spans="1:29" ht="30.75" thickBot="1">
      <c r="A26" s="7"/>
      <c r="B26" s="1336"/>
      <c r="C26" s="86" t="s">
        <v>1041</v>
      </c>
      <c r="D26" s="87" t="s">
        <v>2308</v>
      </c>
      <c r="E26" s="88" t="s">
        <v>2352</v>
      </c>
      <c r="F26" s="89" t="s">
        <v>1042</v>
      </c>
      <c r="G26" s="90">
        <v>0.08</v>
      </c>
      <c r="H26" s="7"/>
      <c r="I26" s="7"/>
      <c r="J26" s="1331" t="s">
        <v>2353</v>
      </c>
      <c r="K26" s="1332"/>
      <c r="L26" s="1332"/>
      <c r="M26" s="1332"/>
      <c r="N26" s="1332"/>
      <c r="O26" s="1332"/>
      <c r="P26" s="1332"/>
      <c r="Q26" s="1332"/>
      <c r="R26" s="1332"/>
      <c r="S26" s="1332"/>
      <c r="T26" s="1332"/>
      <c r="U26" s="1332"/>
      <c r="V26" s="1332"/>
      <c r="W26" s="1332"/>
      <c r="X26" s="1332"/>
      <c r="Y26" s="1332"/>
      <c r="Z26" s="1332"/>
      <c r="AA26" s="1332"/>
      <c r="AB26" s="1332"/>
      <c r="AC26" s="1333"/>
    </row>
    <row r="27" spans="1:29" ht="20.25" thickBot="1">
      <c r="A27" s="7"/>
      <c r="B27" s="1336"/>
      <c r="C27" s="91" t="s">
        <v>1043</v>
      </c>
      <c r="D27" s="92" t="s">
        <v>2354</v>
      </c>
      <c r="E27" s="93" t="s">
        <v>2355</v>
      </c>
      <c r="F27" s="94" t="s">
        <v>1044</v>
      </c>
      <c r="G27" s="95">
        <v>0.24</v>
      </c>
      <c r="H27" s="7"/>
      <c r="I27" s="7"/>
      <c r="J27" s="8"/>
      <c r="K27" s="8"/>
      <c r="L27" s="8"/>
      <c r="M27" s="8"/>
      <c r="N27" s="8"/>
      <c r="O27" s="8"/>
      <c r="P27" s="8"/>
      <c r="Q27" s="8"/>
      <c r="R27" s="8"/>
      <c r="S27" s="8"/>
      <c r="T27" s="8"/>
      <c r="U27" s="8"/>
      <c r="V27" s="8"/>
      <c r="W27" s="8"/>
      <c r="X27" s="9"/>
      <c r="Y27" s="9"/>
      <c r="Z27" s="9"/>
      <c r="AA27" s="9"/>
      <c r="AB27" s="9"/>
      <c r="AC27" s="9"/>
    </row>
    <row r="28" spans="1:29" ht="19.5">
      <c r="A28" s="7"/>
      <c r="B28" s="1336"/>
      <c r="C28" s="96" t="s">
        <v>1045</v>
      </c>
      <c r="D28" s="97" t="s">
        <v>2356</v>
      </c>
      <c r="E28" s="97" t="s">
        <v>2357</v>
      </c>
      <c r="F28" s="98" t="s">
        <v>1046</v>
      </c>
      <c r="G28" s="99">
        <v>0.086</v>
      </c>
      <c r="H28" s="7"/>
      <c r="I28" s="7"/>
      <c r="J28" s="17"/>
      <c r="K28" s="18"/>
      <c r="L28" s="19" t="s">
        <v>2358</v>
      </c>
      <c r="M28" s="19" t="s">
        <v>2359</v>
      </c>
      <c r="N28" s="19" t="s">
        <v>2360</v>
      </c>
      <c r="O28" s="19" t="s">
        <v>2361</v>
      </c>
      <c r="P28" s="19" t="s">
        <v>2362</v>
      </c>
      <c r="Q28" s="19" t="s">
        <v>2363</v>
      </c>
      <c r="R28" s="19" t="s">
        <v>2364</v>
      </c>
      <c r="S28" s="19" t="s">
        <v>2365</v>
      </c>
      <c r="T28" s="19" t="s">
        <v>2366</v>
      </c>
      <c r="U28" s="19" t="s">
        <v>2367</v>
      </c>
      <c r="V28" s="19" t="s">
        <v>2368</v>
      </c>
      <c r="W28" s="19" t="s">
        <v>2369</v>
      </c>
      <c r="X28" s="19" t="s">
        <v>2370</v>
      </c>
      <c r="Y28" s="20" t="s">
        <v>2287</v>
      </c>
      <c r="Z28" s="1349" t="s">
        <v>2288</v>
      </c>
      <c r="AA28" s="1350"/>
      <c r="AB28" s="1350"/>
      <c r="AC28" s="1351"/>
    </row>
    <row r="29" spans="1:29" ht="39">
      <c r="A29" s="7"/>
      <c r="B29" s="1336"/>
      <c r="C29" s="100" t="s">
        <v>2371</v>
      </c>
      <c r="D29" s="97" t="s">
        <v>2372</v>
      </c>
      <c r="E29" s="97" t="s">
        <v>2373</v>
      </c>
      <c r="F29" s="98" t="s">
        <v>1047</v>
      </c>
      <c r="G29" s="99">
        <v>0.06</v>
      </c>
      <c r="H29" s="7"/>
      <c r="I29" s="7"/>
      <c r="J29" s="26">
        <v>1</v>
      </c>
      <c r="K29" s="27" t="s">
        <v>2294</v>
      </c>
      <c r="L29" s="28"/>
      <c r="M29" s="29" t="s">
        <v>1048</v>
      </c>
      <c r="N29" s="28"/>
      <c r="O29" s="28"/>
      <c r="P29" s="28">
        <v>1</v>
      </c>
      <c r="Q29" s="28"/>
      <c r="R29" s="28"/>
      <c r="S29" s="29" t="s">
        <v>1049</v>
      </c>
      <c r="T29" s="28"/>
      <c r="U29" s="29" t="s">
        <v>1050</v>
      </c>
      <c r="V29" s="28"/>
      <c r="W29" s="28"/>
      <c r="X29" s="30" t="s">
        <v>1051</v>
      </c>
      <c r="Y29" s="31"/>
      <c r="Z29" s="1338" t="s">
        <v>1052</v>
      </c>
      <c r="AA29" s="1339"/>
      <c r="AB29" s="1339"/>
      <c r="AC29" s="1340"/>
    </row>
    <row r="30" spans="1:29" ht="58.5">
      <c r="A30" s="7"/>
      <c r="B30" s="1336"/>
      <c r="C30" s="101" t="s">
        <v>1053</v>
      </c>
      <c r="D30" s="102" t="s">
        <v>2374</v>
      </c>
      <c r="E30" s="103" t="s">
        <v>2374</v>
      </c>
      <c r="F30" s="104" t="s">
        <v>2375</v>
      </c>
      <c r="G30" s="105">
        <f>40/14</f>
        <v>2.857142857142857</v>
      </c>
      <c r="H30" s="7"/>
      <c r="I30" s="7"/>
      <c r="J30" s="26">
        <v>2</v>
      </c>
      <c r="K30" s="27" t="s">
        <v>2298</v>
      </c>
      <c r="L30" s="28"/>
      <c r="M30" s="29" t="s">
        <v>1048</v>
      </c>
      <c r="N30" s="28"/>
      <c r="O30" s="28"/>
      <c r="P30" s="28">
        <v>1</v>
      </c>
      <c r="Q30" s="28"/>
      <c r="R30" s="28"/>
      <c r="S30" s="29"/>
      <c r="T30" s="29" t="s">
        <v>1054</v>
      </c>
      <c r="U30" s="29" t="s">
        <v>1050</v>
      </c>
      <c r="V30" s="28"/>
      <c r="W30" s="28"/>
      <c r="X30" s="30" t="s">
        <v>1055</v>
      </c>
      <c r="Y30" s="31" t="s">
        <v>1056</v>
      </c>
      <c r="Z30" s="1338" t="s">
        <v>1057</v>
      </c>
      <c r="AA30" s="1339"/>
      <c r="AB30" s="1339"/>
      <c r="AC30" s="1340"/>
    </row>
    <row r="31" spans="1:29" ht="58.5">
      <c r="A31" s="7"/>
      <c r="B31" s="1336"/>
      <c r="C31" s="101" t="s">
        <v>1058</v>
      </c>
      <c r="D31" s="102" t="s">
        <v>2376</v>
      </c>
      <c r="E31" s="103" t="s">
        <v>2376</v>
      </c>
      <c r="F31" s="104" t="s">
        <v>2375</v>
      </c>
      <c r="G31" s="105">
        <f>-64/14</f>
        <v>-4.571428571428571</v>
      </c>
      <c r="H31" s="7"/>
      <c r="I31" s="7"/>
      <c r="J31" s="38">
        <v>3</v>
      </c>
      <c r="K31" s="39" t="s">
        <v>2303</v>
      </c>
      <c r="L31" s="40"/>
      <c r="M31" s="40"/>
      <c r="N31" s="40"/>
      <c r="O31" s="40"/>
      <c r="P31" s="40"/>
      <c r="Q31" s="40">
        <v>1</v>
      </c>
      <c r="R31" s="40"/>
      <c r="S31" s="41" t="s">
        <v>1059</v>
      </c>
      <c r="T31" s="41" t="s">
        <v>1060</v>
      </c>
      <c r="U31" s="41" t="s">
        <v>1061</v>
      </c>
      <c r="V31" s="40"/>
      <c r="W31" s="40"/>
      <c r="X31" s="41" t="s">
        <v>1062</v>
      </c>
      <c r="Y31" s="42"/>
      <c r="Z31" s="1338" t="s">
        <v>1063</v>
      </c>
      <c r="AA31" s="1339"/>
      <c r="AB31" s="1339"/>
      <c r="AC31" s="1340"/>
    </row>
    <row r="32" spans="1:29" ht="39">
      <c r="A32" s="7"/>
      <c r="B32" s="1336"/>
      <c r="C32" s="101" t="s">
        <v>1064</v>
      </c>
      <c r="D32" s="102" t="s">
        <v>2377</v>
      </c>
      <c r="E32" s="103" t="s">
        <v>2377</v>
      </c>
      <c r="F32" s="104" t="s">
        <v>2375</v>
      </c>
      <c r="G32" s="106">
        <f>-24/14</f>
        <v>-1.7142857142857142</v>
      </c>
      <c r="H32" s="7"/>
      <c r="I32" s="7"/>
      <c r="J32" s="44">
        <v>4</v>
      </c>
      <c r="K32" s="45" t="s">
        <v>2307</v>
      </c>
      <c r="L32" s="28"/>
      <c r="M32" s="28"/>
      <c r="N32" s="28"/>
      <c r="O32" s="46" t="s">
        <v>1065</v>
      </c>
      <c r="P32" s="28">
        <v>-1</v>
      </c>
      <c r="Q32" s="28"/>
      <c r="R32" s="47" t="s">
        <v>2352</v>
      </c>
      <c r="S32" s="28"/>
      <c r="T32" s="28"/>
      <c r="U32" s="28"/>
      <c r="V32" s="28"/>
      <c r="W32" s="47" t="s">
        <v>1066</v>
      </c>
      <c r="X32" s="28"/>
      <c r="Y32" s="48"/>
      <c r="Z32" s="1338" t="s">
        <v>1067</v>
      </c>
      <c r="AA32" s="1339"/>
      <c r="AB32" s="1339"/>
      <c r="AC32" s="1340"/>
    </row>
    <row r="33" spans="1:29" ht="39">
      <c r="A33" s="7"/>
      <c r="B33" s="1336"/>
      <c r="C33" s="101" t="s">
        <v>1068</v>
      </c>
      <c r="D33" s="102" t="s">
        <v>2317</v>
      </c>
      <c r="E33" s="103" t="s">
        <v>2317</v>
      </c>
      <c r="F33" s="104" t="s">
        <v>2378</v>
      </c>
      <c r="G33" s="105">
        <f>1/14</f>
        <v>0.07142857142857142</v>
      </c>
      <c r="H33" s="7"/>
      <c r="I33" s="7"/>
      <c r="J33" s="38">
        <v>5</v>
      </c>
      <c r="K33" s="39" t="s">
        <v>2312</v>
      </c>
      <c r="L33" s="40"/>
      <c r="M33" s="40"/>
      <c r="N33" s="40"/>
      <c r="O33" s="49" t="s">
        <v>1065</v>
      </c>
      <c r="P33" s="40"/>
      <c r="Q33" s="40">
        <v>-1</v>
      </c>
      <c r="R33" s="50" t="s">
        <v>2352</v>
      </c>
      <c r="S33" s="40"/>
      <c r="T33" s="40"/>
      <c r="U33" s="40"/>
      <c r="V33" s="40"/>
      <c r="W33" s="50" t="s">
        <v>1066</v>
      </c>
      <c r="X33" s="40"/>
      <c r="Y33" s="51"/>
      <c r="Z33" s="1338" t="s">
        <v>1069</v>
      </c>
      <c r="AA33" s="1339"/>
      <c r="AB33" s="1339"/>
      <c r="AC33" s="1340"/>
    </row>
    <row r="34" spans="1:29" ht="30.75" thickBot="1">
      <c r="A34" s="7"/>
      <c r="B34" s="1337"/>
      <c r="C34" s="107" t="s">
        <v>1070</v>
      </c>
      <c r="D34" s="108" t="s">
        <v>2379</v>
      </c>
      <c r="E34" s="109" t="s">
        <v>2379</v>
      </c>
      <c r="F34" s="110" t="s">
        <v>2378</v>
      </c>
      <c r="G34" s="111">
        <f>-1/14</f>
        <v>-0.07142857142857142</v>
      </c>
      <c r="H34" s="7"/>
      <c r="I34" s="7"/>
      <c r="J34" s="52">
        <v>6</v>
      </c>
      <c r="K34" s="53" t="s">
        <v>2316</v>
      </c>
      <c r="L34" s="54"/>
      <c r="M34" s="54"/>
      <c r="N34" s="54"/>
      <c r="O34" s="54"/>
      <c r="P34" s="54"/>
      <c r="Q34" s="54"/>
      <c r="R34" s="54"/>
      <c r="S34" s="54"/>
      <c r="T34" s="54"/>
      <c r="U34" s="54">
        <v>1</v>
      </c>
      <c r="V34" s="54">
        <v>-1</v>
      </c>
      <c r="W34" s="54"/>
      <c r="X34" s="55" t="s">
        <v>2317</v>
      </c>
      <c r="Y34" s="56"/>
      <c r="Z34" s="1338" t="s">
        <v>1071</v>
      </c>
      <c r="AA34" s="1339"/>
      <c r="AB34" s="1339"/>
      <c r="AC34" s="1340"/>
    </row>
    <row r="35" spans="1:29" ht="30">
      <c r="A35" s="7"/>
      <c r="B35" s="1335" t="s">
        <v>2380</v>
      </c>
      <c r="C35" s="112" t="s">
        <v>2381</v>
      </c>
      <c r="D35" s="113" t="s">
        <v>2382</v>
      </c>
      <c r="E35" s="114" t="s">
        <v>2383</v>
      </c>
      <c r="F35" s="115" t="s">
        <v>1072</v>
      </c>
      <c r="G35" s="116">
        <v>3</v>
      </c>
      <c r="H35" s="7"/>
      <c r="I35" s="7"/>
      <c r="J35" s="52">
        <v>7</v>
      </c>
      <c r="K35" s="53" t="s">
        <v>2321</v>
      </c>
      <c r="L35" s="54"/>
      <c r="M35" s="54">
        <v>1</v>
      </c>
      <c r="N35" s="54"/>
      <c r="O35" s="54">
        <v>-1</v>
      </c>
      <c r="P35" s="54"/>
      <c r="Q35" s="54"/>
      <c r="R35" s="54"/>
      <c r="S35" s="54"/>
      <c r="T35" s="54"/>
      <c r="U35" s="54"/>
      <c r="V35" s="54"/>
      <c r="W35" s="54"/>
      <c r="X35" s="54"/>
      <c r="Y35" s="57"/>
      <c r="Z35" s="1338" t="s">
        <v>1073</v>
      </c>
      <c r="AA35" s="1339"/>
      <c r="AB35" s="1339"/>
      <c r="AC35" s="1340"/>
    </row>
    <row r="36" spans="1:29" ht="30.75" thickBot="1">
      <c r="A36" s="7"/>
      <c r="B36" s="1336"/>
      <c r="C36" s="117" t="s">
        <v>1074</v>
      </c>
      <c r="D36" s="118" t="s">
        <v>2384</v>
      </c>
      <c r="E36" s="119" t="s">
        <v>2385</v>
      </c>
      <c r="F36" s="120" t="s">
        <v>1075</v>
      </c>
      <c r="G36" s="121">
        <v>0.03</v>
      </c>
      <c r="H36" s="7"/>
      <c r="I36" s="7"/>
      <c r="J36" s="59">
        <v>8</v>
      </c>
      <c r="K36" s="60" t="s">
        <v>2324</v>
      </c>
      <c r="L36" s="61"/>
      <c r="M36" s="61"/>
      <c r="N36" s="61"/>
      <c r="O36" s="61"/>
      <c r="P36" s="61"/>
      <c r="Q36" s="61"/>
      <c r="R36" s="61"/>
      <c r="S36" s="61"/>
      <c r="T36" s="61"/>
      <c r="U36" s="61"/>
      <c r="V36" s="61">
        <v>1</v>
      </c>
      <c r="W36" s="61">
        <v>-1</v>
      </c>
      <c r="X36" s="61"/>
      <c r="Y36" s="62"/>
      <c r="Z36" s="1341" t="s">
        <v>1076</v>
      </c>
      <c r="AA36" s="1342"/>
      <c r="AB36" s="1342"/>
      <c r="AC36" s="1343"/>
    </row>
    <row r="37" spans="1:29" ht="20.25" thickBot="1">
      <c r="A37" s="7"/>
      <c r="B37" s="1336"/>
      <c r="C37" s="117" t="s">
        <v>2386</v>
      </c>
      <c r="D37" s="118" t="s">
        <v>2387</v>
      </c>
      <c r="E37" s="119" t="s">
        <v>2388</v>
      </c>
      <c r="F37" s="122" t="s">
        <v>2389</v>
      </c>
      <c r="G37" s="121">
        <v>0.4</v>
      </c>
      <c r="H37" s="7"/>
      <c r="I37" s="7"/>
      <c r="J37" s="8"/>
      <c r="K37" s="1344" t="s">
        <v>2328</v>
      </c>
      <c r="L37" s="1345"/>
      <c r="M37" s="1345"/>
      <c r="N37" s="1345"/>
      <c r="O37" s="1345"/>
      <c r="P37" s="1345"/>
      <c r="Q37" s="1345"/>
      <c r="R37" s="1345"/>
      <c r="S37" s="1345"/>
      <c r="T37" s="1345"/>
      <c r="U37" s="1345"/>
      <c r="V37" s="1345"/>
      <c r="W37" s="1345"/>
      <c r="X37" s="1345"/>
      <c r="Y37" s="1346"/>
      <c r="Z37" s="9"/>
      <c r="AA37" s="9"/>
      <c r="AB37" s="9"/>
      <c r="AC37" s="9"/>
    </row>
    <row r="38" spans="1:29" ht="19.5">
      <c r="A38" s="7"/>
      <c r="B38" s="1336"/>
      <c r="C38" s="123" t="s">
        <v>2390</v>
      </c>
      <c r="D38" s="124" t="s">
        <v>2391</v>
      </c>
      <c r="E38" s="125" t="s">
        <v>2392</v>
      </c>
      <c r="F38" s="126" t="s">
        <v>1077</v>
      </c>
      <c r="G38" s="127">
        <v>6</v>
      </c>
      <c r="H38" s="7"/>
      <c r="I38" s="7"/>
      <c r="J38" s="8"/>
      <c r="K38" s="63" t="s">
        <v>2332</v>
      </c>
      <c r="L38" s="64">
        <v>1</v>
      </c>
      <c r="M38" s="65">
        <v>1</v>
      </c>
      <c r="N38" s="65">
        <v>1</v>
      </c>
      <c r="O38" s="65">
        <v>1</v>
      </c>
      <c r="P38" s="65">
        <v>1</v>
      </c>
      <c r="Q38" s="65">
        <v>1</v>
      </c>
      <c r="R38" s="65">
        <v>1</v>
      </c>
      <c r="S38" s="65">
        <v>-1</v>
      </c>
      <c r="T38" s="66" t="s">
        <v>2333</v>
      </c>
      <c r="U38" s="65">
        <v>0</v>
      </c>
      <c r="V38" s="65">
        <v>0</v>
      </c>
      <c r="W38" s="65">
        <v>0</v>
      </c>
      <c r="X38" s="65">
        <v>0</v>
      </c>
      <c r="Y38" s="67" t="s">
        <v>2334</v>
      </c>
      <c r="Z38" s="9"/>
      <c r="AA38" s="9"/>
      <c r="AB38" s="9"/>
      <c r="AC38" s="9"/>
    </row>
    <row r="39" spans="1:29" ht="19.5">
      <c r="A39" s="7"/>
      <c r="B39" s="1336"/>
      <c r="C39" s="123" t="s">
        <v>2393</v>
      </c>
      <c r="D39" s="124" t="s">
        <v>2394</v>
      </c>
      <c r="E39" s="125" t="s">
        <v>2395</v>
      </c>
      <c r="F39" s="126" t="s">
        <v>2389</v>
      </c>
      <c r="G39" s="127">
        <v>0.8</v>
      </c>
      <c r="H39" s="7"/>
      <c r="I39" s="7"/>
      <c r="J39" s="8"/>
      <c r="K39" s="68" t="s">
        <v>2338</v>
      </c>
      <c r="L39" s="69">
        <v>0</v>
      </c>
      <c r="M39" s="69">
        <v>0</v>
      </c>
      <c r="N39" s="69">
        <v>0</v>
      </c>
      <c r="O39" s="69">
        <v>0</v>
      </c>
      <c r="P39" s="70" t="s">
        <v>2396</v>
      </c>
      <c r="Q39" s="70" t="s">
        <v>2396</v>
      </c>
      <c r="R39" s="70" t="s">
        <v>2397</v>
      </c>
      <c r="S39" s="69">
        <v>0</v>
      </c>
      <c r="T39" s="69">
        <v>1</v>
      </c>
      <c r="U39" s="69">
        <v>1</v>
      </c>
      <c r="V39" s="69">
        <v>1</v>
      </c>
      <c r="W39" s="69">
        <v>1</v>
      </c>
      <c r="X39" s="69">
        <v>0</v>
      </c>
      <c r="Y39" s="128">
        <v>1</v>
      </c>
      <c r="Z39" s="9"/>
      <c r="AA39" s="9"/>
      <c r="AB39" s="9"/>
      <c r="AC39" s="9"/>
    </row>
    <row r="40" spans="1:29" ht="20.25" thickBot="1">
      <c r="A40" s="7"/>
      <c r="B40" s="1336"/>
      <c r="C40" s="129" t="s">
        <v>1078</v>
      </c>
      <c r="D40" s="124" t="s">
        <v>2398</v>
      </c>
      <c r="E40" s="125" t="s">
        <v>2399</v>
      </c>
      <c r="F40" s="126" t="s">
        <v>1079</v>
      </c>
      <c r="G40" s="127">
        <v>20</v>
      </c>
      <c r="H40" s="7"/>
      <c r="I40" s="7"/>
      <c r="J40" s="8"/>
      <c r="K40" s="72" t="s">
        <v>2344</v>
      </c>
      <c r="L40" s="73">
        <v>0</v>
      </c>
      <c r="M40" s="73">
        <v>0</v>
      </c>
      <c r="N40" s="73">
        <v>0</v>
      </c>
      <c r="O40" s="73">
        <v>0</v>
      </c>
      <c r="P40" s="73">
        <v>0</v>
      </c>
      <c r="Q40" s="73">
        <v>0</v>
      </c>
      <c r="R40" s="73">
        <v>0</v>
      </c>
      <c r="S40" s="73">
        <v>0</v>
      </c>
      <c r="T40" s="74" t="s">
        <v>2345</v>
      </c>
      <c r="U40" s="74" t="s">
        <v>2346</v>
      </c>
      <c r="V40" s="73">
        <v>0</v>
      </c>
      <c r="W40" s="73">
        <v>0</v>
      </c>
      <c r="X40" s="73">
        <v>-1</v>
      </c>
      <c r="Y40" s="130">
        <v>0</v>
      </c>
      <c r="Z40" s="9"/>
      <c r="AA40" s="9"/>
      <c r="AB40" s="9"/>
      <c r="AC40" s="9"/>
    </row>
    <row r="41" spans="1:29" ht="19.5">
      <c r="A41" s="7"/>
      <c r="B41" s="1336"/>
      <c r="C41" s="131" t="s">
        <v>1080</v>
      </c>
      <c r="D41" s="132" t="s">
        <v>2400</v>
      </c>
      <c r="E41" s="133" t="s">
        <v>2401</v>
      </c>
      <c r="F41" s="134" t="s">
        <v>1077</v>
      </c>
      <c r="G41" s="135">
        <v>0.62</v>
      </c>
      <c r="H41" s="7"/>
      <c r="I41" s="7"/>
      <c r="J41" s="8"/>
      <c r="K41" s="8"/>
      <c r="L41" s="8"/>
      <c r="M41" s="8"/>
      <c r="N41" s="8"/>
      <c r="O41" s="8"/>
      <c r="P41" s="8"/>
      <c r="Q41" s="8"/>
      <c r="R41" s="8"/>
      <c r="S41" s="8"/>
      <c r="T41" s="8"/>
      <c r="U41" s="8"/>
      <c r="V41" s="8"/>
      <c r="W41" s="8"/>
      <c r="X41" s="8"/>
      <c r="Y41" s="9"/>
      <c r="Z41" s="9"/>
      <c r="AA41" s="9"/>
      <c r="AB41" s="9"/>
      <c r="AC41" s="9"/>
    </row>
    <row r="42" spans="1:29" ht="20.25" thickBot="1">
      <c r="A42" s="7"/>
      <c r="B42" s="1336"/>
      <c r="C42" s="129" t="s">
        <v>1081</v>
      </c>
      <c r="D42" s="124" t="s">
        <v>2402</v>
      </c>
      <c r="E42" s="125" t="s">
        <v>2403</v>
      </c>
      <c r="F42" s="126" t="s">
        <v>1082</v>
      </c>
      <c r="G42" s="127">
        <v>0.2</v>
      </c>
      <c r="H42" s="7"/>
      <c r="I42" s="7"/>
      <c r="J42" s="8"/>
      <c r="K42" s="8"/>
      <c r="L42" s="8"/>
      <c r="M42" s="8"/>
      <c r="N42" s="8"/>
      <c r="O42" s="8"/>
      <c r="P42" s="8"/>
      <c r="Q42" s="8"/>
      <c r="R42" s="8"/>
      <c r="S42" s="8"/>
      <c r="T42" s="8"/>
      <c r="U42" s="8"/>
      <c r="V42" s="8"/>
      <c r="W42" s="8"/>
      <c r="X42" s="8"/>
      <c r="Y42" s="9"/>
      <c r="Z42" s="9"/>
      <c r="AA42" s="9"/>
      <c r="AB42" s="9"/>
      <c r="AC42" s="9"/>
    </row>
    <row r="43" spans="1:29" ht="30.75" thickBot="1">
      <c r="A43" s="7"/>
      <c r="B43" s="1336"/>
      <c r="C43" s="136" t="s">
        <v>1083</v>
      </c>
      <c r="D43" s="137" t="s">
        <v>2404</v>
      </c>
      <c r="E43" s="82" t="s">
        <v>2405</v>
      </c>
      <c r="F43" s="126" t="s">
        <v>1084</v>
      </c>
      <c r="G43" s="138">
        <v>0.5</v>
      </c>
      <c r="H43" s="7"/>
      <c r="I43" s="7"/>
      <c r="J43" s="1331" t="s">
        <v>2406</v>
      </c>
      <c r="K43" s="1332"/>
      <c r="L43" s="1332"/>
      <c r="M43" s="1332"/>
      <c r="N43" s="1332"/>
      <c r="O43" s="1332"/>
      <c r="P43" s="1332"/>
      <c r="Q43" s="1332"/>
      <c r="R43" s="1332"/>
      <c r="S43" s="1332"/>
      <c r="T43" s="1332"/>
      <c r="U43" s="1332"/>
      <c r="V43" s="1332"/>
      <c r="W43" s="1332"/>
      <c r="X43" s="1332"/>
      <c r="Y43" s="1332"/>
      <c r="Z43" s="1332"/>
      <c r="AA43" s="1332"/>
      <c r="AB43" s="1332"/>
      <c r="AC43" s="1333"/>
    </row>
    <row r="44" spans="1:29" ht="19.5">
      <c r="A44" s="7"/>
      <c r="B44" s="1336"/>
      <c r="C44" s="139" t="s">
        <v>2407</v>
      </c>
      <c r="D44" s="140" t="s">
        <v>2408</v>
      </c>
      <c r="E44" s="141" t="s">
        <v>2409</v>
      </c>
      <c r="F44" s="142" t="s">
        <v>1085</v>
      </c>
      <c r="G44" s="143">
        <v>0.05</v>
      </c>
      <c r="H44" s="7"/>
      <c r="I44" s="7"/>
      <c r="J44" s="8"/>
      <c r="K44" s="8"/>
      <c r="L44" s="8"/>
      <c r="M44" s="8"/>
      <c r="N44" s="8"/>
      <c r="O44" s="8"/>
      <c r="P44" s="8"/>
      <c r="Q44" s="8"/>
      <c r="R44" s="8"/>
      <c r="S44" s="8"/>
      <c r="T44" s="8"/>
      <c r="U44" s="8"/>
      <c r="V44" s="8"/>
      <c r="W44" s="8"/>
      <c r="X44" s="8"/>
      <c r="Y44" s="9"/>
      <c r="Z44" s="9"/>
      <c r="AA44" s="9"/>
      <c r="AB44" s="9"/>
      <c r="AC44" s="9"/>
    </row>
    <row r="45" spans="1:29" ht="20.25" thickBot="1">
      <c r="A45" s="7"/>
      <c r="B45" s="1336"/>
      <c r="C45" s="144" t="s">
        <v>1086</v>
      </c>
      <c r="D45" s="145" t="s">
        <v>2410</v>
      </c>
      <c r="E45" s="92" t="s">
        <v>2411</v>
      </c>
      <c r="F45" s="146" t="s">
        <v>1077</v>
      </c>
      <c r="G45" s="147">
        <v>0.8</v>
      </c>
      <c r="H45" s="7"/>
      <c r="I45" s="7"/>
      <c r="J45" s="148"/>
      <c r="K45" s="148"/>
      <c r="L45" s="148"/>
      <c r="M45" s="148"/>
      <c r="N45" s="148"/>
      <c r="O45" s="148"/>
      <c r="P45" s="148"/>
      <c r="Q45" s="148"/>
      <c r="R45" s="148"/>
      <c r="S45" s="148"/>
      <c r="T45" s="148"/>
      <c r="U45" s="148"/>
      <c r="V45" s="148"/>
      <c r="W45" s="148"/>
      <c r="X45" s="148"/>
      <c r="Y45" s="149"/>
      <c r="Z45" s="1347" t="s">
        <v>2328</v>
      </c>
      <c r="AA45" s="1348"/>
      <c r="AB45" s="1348"/>
      <c r="AC45" s="1348"/>
    </row>
    <row r="46" spans="1:29" ht="20.25" thickBot="1">
      <c r="A46" s="7"/>
      <c r="B46" s="1336"/>
      <c r="C46" s="150" t="s">
        <v>1087</v>
      </c>
      <c r="D46" s="151" t="s">
        <v>2412</v>
      </c>
      <c r="E46" s="152" t="s">
        <v>2413</v>
      </c>
      <c r="F46" s="153" t="s">
        <v>1077</v>
      </c>
      <c r="G46" s="154">
        <v>0.15</v>
      </c>
      <c r="H46" s="7"/>
      <c r="I46" s="7"/>
      <c r="J46" s="148"/>
      <c r="K46" s="148"/>
      <c r="L46" s="155"/>
      <c r="M46" s="155"/>
      <c r="N46" s="155"/>
      <c r="O46" s="155"/>
      <c r="P46" s="155"/>
      <c r="Q46" s="155"/>
      <c r="R46" s="155"/>
      <c r="S46" s="155"/>
      <c r="T46" s="155"/>
      <c r="U46" s="155"/>
      <c r="V46" s="155"/>
      <c r="W46" s="155"/>
      <c r="X46" s="155"/>
      <c r="Y46" s="156"/>
      <c r="Z46" s="155"/>
      <c r="AA46" s="157" t="s">
        <v>2332</v>
      </c>
      <c r="AB46" s="158" t="s">
        <v>2338</v>
      </c>
      <c r="AC46" s="158" t="s">
        <v>2344</v>
      </c>
    </row>
    <row r="47" spans="1:29" ht="19.5">
      <c r="A47" s="7"/>
      <c r="B47" s="1336"/>
      <c r="C47" s="144" t="s">
        <v>2414</v>
      </c>
      <c r="D47" s="145" t="s">
        <v>2415</v>
      </c>
      <c r="E47" s="92" t="s">
        <v>2416</v>
      </c>
      <c r="F47" s="146" t="s">
        <v>1088</v>
      </c>
      <c r="G47" s="147">
        <v>0.08</v>
      </c>
      <c r="H47" s="7"/>
      <c r="I47" s="7"/>
      <c r="J47" s="148"/>
      <c r="K47" s="148"/>
      <c r="L47" s="155"/>
      <c r="M47" s="155"/>
      <c r="N47" s="155"/>
      <c r="O47" s="155"/>
      <c r="P47" s="155"/>
      <c r="Q47" s="155"/>
      <c r="R47" s="155"/>
      <c r="S47" s="155"/>
      <c r="T47" s="155"/>
      <c r="U47" s="155"/>
      <c r="V47" s="155"/>
      <c r="W47" s="155"/>
      <c r="X47" s="155"/>
      <c r="Y47" s="156"/>
      <c r="Z47" s="159" t="s">
        <v>1089</v>
      </c>
      <c r="AA47" s="160">
        <v>1</v>
      </c>
      <c r="AB47" s="161">
        <v>0</v>
      </c>
      <c r="AC47" s="162">
        <v>0</v>
      </c>
    </row>
    <row r="48" spans="1:29" ht="19.5">
      <c r="A48" s="7"/>
      <c r="B48" s="1336"/>
      <c r="C48" s="144" t="s">
        <v>1081</v>
      </c>
      <c r="D48" s="151" t="s">
        <v>2417</v>
      </c>
      <c r="E48" s="92" t="s">
        <v>2418</v>
      </c>
      <c r="F48" s="163" t="s">
        <v>1082</v>
      </c>
      <c r="G48" s="94">
        <v>0.4</v>
      </c>
      <c r="H48" s="7"/>
      <c r="I48" s="7"/>
      <c r="J48" s="148"/>
      <c r="K48" s="148"/>
      <c r="L48" s="155"/>
      <c r="M48" s="155"/>
      <c r="N48" s="155"/>
      <c r="O48" s="155"/>
      <c r="P48" s="155"/>
      <c r="Q48" s="155"/>
      <c r="R48" s="155"/>
      <c r="S48" s="155"/>
      <c r="T48" s="155"/>
      <c r="U48" s="155"/>
      <c r="V48" s="155"/>
      <c r="W48" s="155"/>
      <c r="X48" s="155"/>
      <c r="Y48" s="156"/>
      <c r="Z48" s="164" t="s">
        <v>1090</v>
      </c>
      <c r="AA48" s="165">
        <v>1</v>
      </c>
      <c r="AB48" s="166">
        <v>0</v>
      </c>
      <c r="AC48" s="165">
        <v>0</v>
      </c>
    </row>
    <row r="49" spans="1:29" ht="20.25" thickBot="1">
      <c r="A49" s="7"/>
      <c r="B49" s="1337"/>
      <c r="C49" s="167" t="s">
        <v>1091</v>
      </c>
      <c r="D49" s="168" t="s">
        <v>2419</v>
      </c>
      <c r="E49" s="169" t="s">
        <v>2420</v>
      </c>
      <c r="F49" s="170" t="s">
        <v>1092</v>
      </c>
      <c r="G49" s="171">
        <v>1</v>
      </c>
      <c r="H49" s="7"/>
      <c r="I49" s="7"/>
      <c r="J49" s="148"/>
      <c r="K49" s="148"/>
      <c r="L49" s="155"/>
      <c r="M49" s="155"/>
      <c r="N49" s="155"/>
      <c r="O49" s="155"/>
      <c r="P49" s="155"/>
      <c r="Q49" s="155"/>
      <c r="R49" s="155"/>
      <c r="S49" s="155"/>
      <c r="T49" s="155"/>
      <c r="U49" s="155"/>
      <c r="V49" s="155"/>
      <c r="W49" s="155"/>
      <c r="X49" s="155"/>
      <c r="Y49" s="156"/>
      <c r="Z49" s="164" t="s">
        <v>1093</v>
      </c>
      <c r="AA49" s="165">
        <v>1</v>
      </c>
      <c r="AB49" s="166">
        <v>0</v>
      </c>
      <c r="AC49" s="165">
        <v>0</v>
      </c>
    </row>
    <row r="50" spans="1:29" ht="15.75">
      <c r="A50" s="7"/>
      <c r="B50" s="7"/>
      <c r="C50" s="7"/>
      <c r="D50" s="8"/>
      <c r="E50" s="8"/>
      <c r="F50" s="8"/>
      <c r="G50" s="8"/>
      <c r="H50" s="7"/>
      <c r="I50" s="7"/>
      <c r="J50" s="148"/>
      <c r="K50" s="148"/>
      <c r="L50" s="155"/>
      <c r="M50" s="155"/>
      <c r="N50" s="155"/>
      <c r="O50" s="155"/>
      <c r="P50" s="155"/>
      <c r="Q50" s="155"/>
      <c r="R50" s="155"/>
      <c r="S50" s="155"/>
      <c r="T50" s="155"/>
      <c r="U50" s="155"/>
      <c r="V50" s="155"/>
      <c r="W50" s="155"/>
      <c r="X50" s="155"/>
      <c r="Y50" s="156"/>
      <c r="Z50" s="164" t="s">
        <v>1094</v>
      </c>
      <c r="AA50" s="165">
        <v>1</v>
      </c>
      <c r="AB50" s="166">
        <v>0</v>
      </c>
      <c r="AC50" s="165">
        <v>0</v>
      </c>
    </row>
    <row r="51" spans="1:29" ht="16.5">
      <c r="A51" s="7"/>
      <c r="B51" s="7"/>
      <c r="C51" s="172" t="s">
        <v>1095</v>
      </c>
      <c r="D51" s="8"/>
      <c r="E51" s="8"/>
      <c r="F51" s="8"/>
      <c r="G51" s="8"/>
      <c r="H51" s="7"/>
      <c r="I51" s="7"/>
      <c r="J51" s="148"/>
      <c r="K51" s="148"/>
      <c r="L51" s="155"/>
      <c r="M51" s="155"/>
      <c r="N51" s="155"/>
      <c r="O51" s="155"/>
      <c r="P51" s="155"/>
      <c r="Q51" s="155"/>
      <c r="R51" s="155"/>
      <c r="S51" s="155"/>
      <c r="T51" s="155"/>
      <c r="U51" s="155"/>
      <c r="V51" s="155"/>
      <c r="W51" s="155"/>
      <c r="X51" s="155"/>
      <c r="Y51" s="156"/>
      <c r="Z51" s="173"/>
      <c r="AA51" s="165"/>
      <c r="AB51" s="166"/>
      <c r="AC51" s="165"/>
    </row>
    <row r="52" spans="1:29" ht="15.75">
      <c r="A52" s="7"/>
      <c r="B52" s="7"/>
      <c r="C52" s="7"/>
      <c r="D52" s="8"/>
      <c r="E52" s="8"/>
      <c r="F52" s="8"/>
      <c r="G52" s="8"/>
      <c r="H52" s="7"/>
      <c r="I52" s="7"/>
      <c r="J52" s="148"/>
      <c r="K52" s="148"/>
      <c r="L52" s="155"/>
      <c r="M52" s="155"/>
      <c r="N52" s="155"/>
      <c r="O52" s="155"/>
      <c r="P52" s="155"/>
      <c r="Q52" s="155"/>
      <c r="R52" s="155"/>
      <c r="S52" s="155"/>
      <c r="T52" s="155"/>
      <c r="U52" s="155"/>
      <c r="V52" s="155"/>
      <c r="W52" s="155"/>
      <c r="X52" s="155"/>
      <c r="Y52" s="156"/>
      <c r="Z52" s="164" t="s">
        <v>1096</v>
      </c>
      <c r="AA52" s="165">
        <v>1</v>
      </c>
      <c r="AB52" s="166">
        <f>ASM1_i_XB</f>
        <v>0.086</v>
      </c>
      <c r="AC52" s="165">
        <v>0</v>
      </c>
    </row>
    <row r="53" spans="1:29" ht="15.75">
      <c r="A53" s="7"/>
      <c r="B53" s="7"/>
      <c r="C53" s="7"/>
      <c r="D53" s="8"/>
      <c r="E53" s="8"/>
      <c r="F53" s="8"/>
      <c r="G53" s="8"/>
      <c r="H53" s="7"/>
      <c r="I53" s="7"/>
      <c r="J53" s="148"/>
      <c r="K53" s="148"/>
      <c r="L53" s="155"/>
      <c r="M53" s="155"/>
      <c r="N53" s="155"/>
      <c r="O53" s="155"/>
      <c r="P53" s="155"/>
      <c r="Q53" s="155"/>
      <c r="R53" s="155"/>
      <c r="S53" s="155"/>
      <c r="T53" s="155"/>
      <c r="U53" s="155"/>
      <c r="V53" s="155"/>
      <c r="W53" s="155"/>
      <c r="X53" s="155"/>
      <c r="Y53" s="156"/>
      <c r="Z53" s="164" t="s">
        <v>1097</v>
      </c>
      <c r="AA53" s="165">
        <v>1</v>
      </c>
      <c r="AB53" s="166">
        <f>ASM1_i_XB</f>
        <v>0.086</v>
      </c>
      <c r="AC53" s="165">
        <v>0</v>
      </c>
    </row>
    <row r="54" spans="1:29" ht="15.75">
      <c r="A54" s="7"/>
      <c r="B54" s="7"/>
      <c r="C54" s="7"/>
      <c r="D54" s="8"/>
      <c r="E54" s="8"/>
      <c r="F54" s="8"/>
      <c r="G54" s="8"/>
      <c r="H54" s="7"/>
      <c r="I54" s="7"/>
      <c r="J54" s="148"/>
      <c r="K54" s="148"/>
      <c r="L54" s="155"/>
      <c r="M54" s="155"/>
      <c r="N54" s="155"/>
      <c r="O54" s="155"/>
      <c r="P54" s="155"/>
      <c r="Q54" s="155"/>
      <c r="R54" s="155"/>
      <c r="S54" s="155"/>
      <c r="T54" s="155"/>
      <c r="U54" s="155"/>
      <c r="V54" s="155"/>
      <c r="W54" s="155"/>
      <c r="X54" s="155"/>
      <c r="Y54" s="156"/>
      <c r="Z54" s="164" t="s">
        <v>1098</v>
      </c>
      <c r="AA54" s="165">
        <v>1</v>
      </c>
      <c r="AB54" s="166">
        <f>ASM1_i_XP</f>
        <v>0.06</v>
      </c>
      <c r="AC54" s="165">
        <v>0</v>
      </c>
    </row>
    <row r="55" spans="1:29" ht="15.75">
      <c r="A55" s="7"/>
      <c r="B55" s="7"/>
      <c r="C55" s="7"/>
      <c r="D55" s="8"/>
      <c r="E55" s="8"/>
      <c r="F55" s="8"/>
      <c r="G55" s="8"/>
      <c r="H55" s="7"/>
      <c r="I55" s="7"/>
      <c r="J55" s="148"/>
      <c r="K55" s="148"/>
      <c r="L55" s="155"/>
      <c r="M55" s="155"/>
      <c r="N55" s="155"/>
      <c r="O55" s="155"/>
      <c r="P55" s="155"/>
      <c r="Q55" s="155"/>
      <c r="R55" s="155"/>
      <c r="S55" s="155"/>
      <c r="T55" s="155"/>
      <c r="U55" s="155"/>
      <c r="V55" s="155"/>
      <c r="W55" s="155"/>
      <c r="X55" s="155"/>
      <c r="Y55" s="156"/>
      <c r="Z55" s="164" t="s">
        <v>1099</v>
      </c>
      <c r="AA55" s="165">
        <v>-1</v>
      </c>
      <c r="AB55" s="166">
        <v>0</v>
      </c>
      <c r="AC55" s="165">
        <v>0</v>
      </c>
    </row>
    <row r="56" spans="1:29" ht="15.75">
      <c r="A56" s="7"/>
      <c r="B56" s="7"/>
      <c r="C56" s="7"/>
      <c r="D56" s="8"/>
      <c r="E56" s="8"/>
      <c r="F56" s="8"/>
      <c r="G56" s="8"/>
      <c r="H56" s="7"/>
      <c r="I56" s="7"/>
      <c r="J56" s="148"/>
      <c r="K56" s="148"/>
      <c r="L56" s="155"/>
      <c r="M56" s="155"/>
      <c r="N56" s="155"/>
      <c r="O56" s="155"/>
      <c r="P56" s="155"/>
      <c r="Q56" s="155"/>
      <c r="R56" s="155"/>
      <c r="S56" s="155"/>
      <c r="T56" s="155"/>
      <c r="U56" s="155"/>
      <c r="V56" s="155"/>
      <c r="W56" s="155"/>
      <c r="X56" s="155"/>
      <c r="Y56" s="156"/>
      <c r="Z56" s="164" t="s">
        <v>1100</v>
      </c>
      <c r="AA56" s="174">
        <f>ASM1_i_COD_NOx</f>
        <v>-4.571428571428571</v>
      </c>
      <c r="AB56" s="166">
        <v>1</v>
      </c>
      <c r="AC56" s="175">
        <f>ASM1_i_Charge_NOx</f>
        <v>-0.07142857142857142</v>
      </c>
    </row>
    <row r="57" spans="1:29" ht="15.75">
      <c r="A57" s="7"/>
      <c r="B57" s="7"/>
      <c r="C57" s="7"/>
      <c r="D57" s="8"/>
      <c r="E57" s="8"/>
      <c r="F57" s="8"/>
      <c r="G57" s="8"/>
      <c r="H57" s="7"/>
      <c r="I57" s="7"/>
      <c r="J57" s="148"/>
      <c r="K57" s="148"/>
      <c r="L57" s="155"/>
      <c r="M57" s="155"/>
      <c r="N57" s="155"/>
      <c r="O57" s="155"/>
      <c r="P57" s="155"/>
      <c r="Q57" s="155"/>
      <c r="R57" s="155"/>
      <c r="S57" s="155"/>
      <c r="T57" s="155"/>
      <c r="U57" s="155"/>
      <c r="V57" s="155"/>
      <c r="W57" s="155"/>
      <c r="X57" s="155"/>
      <c r="Y57" s="156"/>
      <c r="Z57" s="164" t="s">
        <v>1101</v>
      </c>
      <c r="AA57" s="165">
        <v>0</v>
      </c>
      <c r="AB57" s="166">
        <v>1</v>
      </c>
      <c r="AC57" s="175">
        <f>ASM1_i_Charge_NHx</f>
        <v>0.07142857142857142</v>
      </c>
    </row>
    <row r="58" spans="1:29" ht="15.75">
      <c r="A58" s="7"/>
      <c r="B58" s="7"/>
      <c r="C58" s="7"/>
      <c r="D58" s="8"/>
      <c r="E58" s="8"/>
      <c r="F58" s="8"/>
      <c r="G58" s="8"/>
      <c r="H58" s="7"/>
      <c r="I58" s="7"/>
      <c r="J58" s="148"/>
      <c r="K58" s="148"/>
      <c r="L58" s="155"/>
      <c r="M58" s="155"/>
      <c r="N58" s="155"/>
      <c r="O58" s="155"/>
      <c r="P58" s="155"/>
      <c r="Q58" s="155"/>
      <c r="R58" s="155"/>
      <c r="S58" s="155"/>
      <c r="T58" s="155"/>
      <c r="U58" s="155"/>
      <c r="V58" s="155"/>
      <c r="W58" s="155"/>
      <c r="X58" s="155"/>
      <c r="Y58" s="156"/>
      <c r="Z58" s="164" t="s">
        <v>1102</v>
      </c>
      <c r="AA58" s="165">
        <v>0</v>
      </c>
      <c r="AB58" s="166">
        <v>1</v>
      </c>
      <c r="AC58" s="165">
        <v>0</v>
      </c>
    </row>
    <row r="59" spans="1:29" ht="15.75">
      <c r="A59" s="7"/>
      <c r="B59" s="7"/>
      <c r="C59" s="7"/>
      <c r="D59" s="8"/>
      <c r="E59" s="8"/>
      <c r="F59" s="8"/>
      <c r="G59" s="8"/>
      <c r="H59" s="7"/>
      <c r="I59" s="7"/>
      <c r="J59" s="155"/>
      <c r="K59" s="176"/>
      <c r="L59" s="177"/>
      <c r="M59" s="177"/>
      <c r="N59" s="177"/>
      <c r="O59" s="177"/>
      <c r="P59" s="177"/>
      <c r="Q59" s="177"/>
      <c r="R59" s="177"/>
      <c r="S59" s="177"/>
      <c r="T59" s="177"/>
      <c r="U59" s="177"/>
      <c r="V59" s="177"/>
      <c r="W59" s="177"/>
      <c r="X59" s="177"/>
      <c r="Y59" s="156"/>
      <c r="Z59" s="164" t="s">
        <v>1103</v>
      </c>
      <c r="AA59" s="165">
        <v>0</v>
      </c>
      <c r="AB59" s="166">
        <v>1</v>
      </c>
      <c r="AC59" s="165">
        <v>0</v>
      </c>
    </row>
    <row r="60" spans="1:29" ht="15.75">
      <c r="A60" s="7"/>
      <c r="B60" s="7"/>
      <c r="C60" s="7"/>
      <c r="D60" s="8"/>
      <c r="E60" s="8"/>
      <c r="F60" s="8"/>
      <c r="G60" s="8"/>
      <c r="H60" s="7"/>
      <c r="I60" s="7"/>
      <c r="J60" s="148"/>
      <c r="K60" s="148"/>
      <c r="L60" s="155"/>
      <c r="M60" s="155"/>
      <c r="N60" s="155"/>
      <c r="O60" s="155"/>
      <c r="P60" s="155"/>
      <c r="Q60" s="155"/>
      <c r="R60" s="155"/>
      <c r="S60" s="155"/>
      <c r="T60" s="155"/>
      <c r="U60" s="155"/>
      <c r="V60" s="155"/>
      <c r="W60" s="155"/>
      <c r="X60" s="155"/>
      <c r="Y60" s="156"/>
      <c r="Z60" s="164" t="s">
        <v>1104</v>
      </c>
      <c r="AA60" s="165">
        <v>0</v>
      </c>
      <c r="AB60" s="166">
        <v>0</v>
      </c>
      <c r="AC60" s="165">
        <v>-1</v>
      </c>
    </row>
    <row r="61" spans="1:29" ht="16.5" thickBot="1">
      <c r="A61" s="7"/>
      <c r="B61" s="7"/>
      <c r="C61" s="7"/>
      <c r="D61" s="8"/>
      <c r="E61" s="8"/>
      <c r="F61" s="8"/>
      <c r="G61" s="8"/>
      <c r="H61" s="7"/>
      <c r="I61" s="7"/>
      <c r="J61" s="178"/>
      <c r="K61" s="178"/>
      <c r="L61" s="178"/>
      <c r="M61" s="178"/>
      <c r="N61" s="178"/>
      <c r="O61" s="178"/>
      <c r="P61" s="178"/>
      <c r="Q61" s="178"/>
      <c r="R61" s="178"/>
      <c r="S61" s="178"/>
      <c r="T61" s="178"/>
      <c r="U61" s="178"/>
      <c r="V61" s="178"/>
      <c r="W61" s="178"/>
      <c r="X61" s="178"/>
      <c r="Y61" s="178"/>
      <c r="Z61" s="179" t="s">
        <v>1105</v>
      </c>
      <c r="AA61" s="180">
        <f>ASM1_i_COD_N2</f>
        <v>-1.7142857142857142</v>
      </c>
      <c r="AB61" s="181">
        <v>1</v>
      </c>
      <c r="AC61" s="182">
        <v>0</v>
      </c>
    </row>
    <row r="62" spans="1:29" ht="16.5" thickBot="1">
      <c r="A62" s="7"/>
      <c r="B62" s="7"/>
      <c r="C62" s="183"/>
      <c r="D62" s="184"/>
      <c r="E62" s="8"/>
      <c r="F62" s="8"/>
      <c r="G62" s="8"/>
      <c r="H62" s="7"/>
      <c r="I62" s="7"/>
      <c r="J62" s="185"/>
      <c r="K62" s="186"/>
      <c r="L62" s="187" t="s">
        <v>1089</v>
      </c>
      <c r="M62" s="187" t="s">
        <v>1090</v>
      </c>
      <c r="N62" s="187" t="s">
        <v>1093</v>
      </c>
      <c r="O62" s="187" t="s">
        <v>1094</v>
      </c>
      <c r="P62" s="187" t="s">
        <v>1096</v>
      </c>
      <c r="Q62" s="187" t="s">
        <v>1097</v>
      </c>
      <c r="R62" s="187" t="s">
        <v>1098</v>
      </c>
      <c r="S62" s="187" t="s">
        <v>1099</v>
      </c>
      <c r="T62" s="187" t="s">
        <v>1100</v>
      </c>
      <c r="U62" s="187" t="s">
        <v>1101</v>
      </c>
      <c r="V62" s="187" t="s">
        <v>1102</v>
      </c>
      <c r="W62" s="187" t="s">
        <v>1103</v>
      </c>
      <c r="X62" s="187" t="s">
        <v>1104</v>
      </c>
      <c r="Y62" s="188" t="s">
        <v>1105</v>
      </c>
      <c r="Z62" s="156"/>
      <c r="AA62" s="156"/>
      <c r="AB62" s="156"/>
      <c r="AC62" s="156"/>
    </row>
    <row r="63" spans="1:29" ht="30">
      <c r="A63" s="7"/>
      <c r="B63" s="7"/>
      <c r="C63" s="189"/>
      <c r="D63" s="190"/>
      <c r="E63" s="8"/>
      <c r="F63" s="8"/>
      <c r="G63" s="8"/>
      <c r="H63" s="7"/>
      <c r="I63" s="7"/>
      <c r="J63" s="191">
        <v>1</v>
      </c>
      <c r="K63" s="192" t="s">
        <v>2294</v>
      </c>
      <c r="L63" s="193"/>
      <c r="M63" s="194">
        <f>-1/ASM1_Y_H</f>
        <v>-1.4925373134328357</v>
      </c>
      <c r="N63" s="193"/>
      <c r="O63" s="193"/>
      <c r="P63" s="193">
        <v>1</v>
      </c>
      <c r="Q63" s="193"/>
      <c r="R63" s="193"/>
      <c r="S63" s="194">
        <f>-(1-ASM1_Y_H)/ASM1_Y_H</f>
        <v>-0.49253731343283574</v>
      </c>
      <c r="T63" s="193"/>
      <c r="U63" s="194">
        <f>-ASM1_i_XB</f>
        <v>-0.086</v>
      </c>
      <c r="V63" s="193"/>
      <c r="W63" s="193"/>
      <c r="X63" s="195">
        <f>-ASM1_i_XB*ASM1_i_Charge_NHx</f>
        <v>-0.006142857142857142</v>
      </c>
      <c r="Y63" s="196"/>
      <c r="Z63" s="156"/>
      <c r="AA63" s="197">
        <f aca="true" t="shared" si="0" ref="AA63:AA70">L63*$AA$47+M63*$AA$48+N63*$AA$49+O63*$AA$50+P63*$AA$52+Q63*$AA$53+R63*$AA$54+S63*$AA$55+T63*$AA$56+U63*$AA$57+V63*$AA$58+W63*$AA$59+X63*$AA$60+Y63*$AA$61</f>
        <v>5.551115123125783E-17</v>
      </c>
      <c r="AB63" s="198">
        <f aca="true" t="shared" si="1" ref="AB63:AB70">L63*$AB$47+M63*$AB$48+N63*$AB$49+O63*$AB$50+P63*$AB$52+Q63*$AB$53+R63*$AB$54+S63*$AB$55+T63*$AB$56+U63*$AB$57+V63*$AB$58+W63*$AB$59+X63*$AB$60+Y63*$AB$61</f>
        <v>0</v>
      </c>
      <c r="AC63" s="199">
        <f aca="true" t="shared" si="2" ref="AC63:AC70">T63*$AC$56+U63*$AC$57+X63*$AC$60</f>
        <v>0</v>
      </c>
    </row>
    <row r="64" spans="1:29" ht="30">
      <c r="A64" s="7"/>
      <c r="B64" s="7"/>
      <c r="C64" s="189"/>
      <c r="D64" s="190"/>
      <c r="E64" s="8"/>
      <c r="F64" s="8"/>
      <c r="G64" s="8"/>
      <c r="H64" s="7"/>
      <c r="I64" s="7"/>
      <c r="J64" s="191">
        <v>2</v>
      </c>
      <c r="K64" s="192" t="s">
        <v>2298</v>
      </c>
      <c r="L64" s="193"/>
      <c r="M64" s="194">
        <f>-1/ASM1_Y_H</f>
        <v>-1.4925373134328357</v>
      </c>
      <c r="N64" s="193"/>
      <c r="O64" s="193"/>
      <c r="P64" s="193">
        <v>1</v>
      </c>
      <c r="Q64" s="193"/>
      <c r="R64" s="193"/>
      <c r="S64" s="194"/>
      <c r="T64" s="194">
        <f>-(1-ASM1_Y_H)/(ASM1_i_NOx.N2*ASM1_Y_H)</f>
        <v>-0.1723880597014925</v>
      </c>
      <c r="U64" s="194">
        <f>-ASM1_i_XB</f>
        <v>-0.086</v>
      </c>
      <c r="V64" s="193"/>
      <c r="W64" s="193"/>
      <c r="X64" s="195">
        <f>-(1-ASM1_Y_H)/(ASM1_i_NOx.N2*ASM1_Y_H)*ASM1_i_Charge_NOx-ASM1_i_XB*ASM1_i_Charge_NHx</f>
        <v>0.006170575692963751</v>
      </c>
      <c r="Y64" s="196">
        <f>(1-ASM1_Y_H)/(ASM1_i_NOx.N2*ASM1_Y_H)</f>
        <v>0.1723880597014925</v>
      </c>
      <c r="Z64" s="156"/>
      <c r="AA64" s="200">
        <f t="shared" si="0"/>
        <v>0</v>
      </c>
      <c r="AB64" s="201">
        <f t="shared" si="1"/>
        <v>0</v>
      </c>
      <c r="AC64" s="202">
        <f t="shared" si="2"/>
        <v>0</v>
      </c>
    </row>
    <row r="65" spans="1:29" ht="30">
      <c r="A65" s="7"/>
      <c r="B65" s="7"/>
      <c r="C65" s="203"/>
      <c r="D65" s="190"/>
      <c r="E65" s="8"/>
      <c r="F65" s="8"/>
      <c r="G65" s="8"/>
      <c r="H65" s="7"/>
      <c r="I65" s="7"/>
      <c r="J65" s="191">
        <v>3</v>
      </c>
      <c r="K65" s="192" t="s">
        <v>2303</v>
      </c>
      <c r="L65" s="193"/>
      <c r="M65" s="193"/>
      <c r="N65" s="193"/>
      <c r="O65" s="193"/>
      <c r="P65" s="193"/>
      <c r="Q65" s="193">
        <v>1</v>
      </c>
      <c r="R65" s="193"/>
      <c r="S65" s="194">
        <f>-(-ASM1_i_COD_NOx-ASM1_Y_A)/ASM1_Y_A</f>
        <v>-18.047619047619047</v>
      </c>
      <c r="T65" s="194">
        <f>1/ASM1_Y_A</f>
        <v>4.166666666666667</v>
      </c>
      <c r="U65" s="194">
        <f>-ASM1_i_XB-1/ASM1_Y_A</f>
        <v>-4.252666666666667</v>
      </c>
      <c r="V65" s="193"/>
      <c r="W65" s="193"/>
      <c r="X65" s="194">
        <f>-(ASM1_i_XB+1/ASM1_Y_A)*ASM1_i_Charge_NHx+(1/ASM1_Y_A)*ASM1_i_Charge_NOx</f>
        <v>-0.6013809523809523</v>
      </c>
      <c r="Y65" s="204"/>
      <c r="Z65" s="156"/>
      <c r="AA65" s="200">
        <f t="shared" si="0"/>
        <v>0</v>
      </c>
      <c r="AB65" s="201">
        <f t="shared" si="1"/>
        <v>0</v>
      </c>
      <c r="AC65" s="202">
        <f t="shared" si="2"/>
        <v>0</v>
      </c>
    </row>
    <row r="66" spans="1:29" ht="15">
      <c r="A66" s="7"/>
      <c r="B66" s="7"/>
      <c r="C66" s="203"/>
      <c r="D66" s="190"/>
      <c r="E66" s="8"/>
      <c r="F66" s="8"/>
      <c r="G66" s="8"/>
      <c r="H66" s="7"/>
      <c r="I66" s="7"/>
      <c r="J66" s="205">
        <v>4</v>
      </c>
      <c r="K66" s="206" t="s">
        <v>2307</v>
      </c>
      <c r="L66" s="193"/>
      <c r="M66" s="193"/>
      <c r="N66" s="193"/>
      <c r="O66" s="193">
        <f>1-ASM1_f_P</f>
        <v>0.92</v>
      </c>
      <c r="P66" s="193">
        <v>-1</v>
      </c>
      <c r="Q66" s="193"/>
      <c r="R66" s="193">
        <f>ASM1_f_P</f>
        <v>0.08</v>
      </c>
      <c r="S66" s="193"/>
      <c r="T66" s="193"/>
      <c r="U66" s="193"/>
      <c r="V66" s="193"/>
      <c r="W66" s="193">
        <f>ASM1_i_XB-ASM1_f_P*ASM1_i_XP</f>
        <v>0.0812</v>
      </c>
      <c r="X66" s="193"/>
      <c r="Y66" s="207"/>
      <c r="Z66" s="156"/>
      <c r="AA66" s="200">
        <f t="shared" si="0"/>
        <v>4.163336342344337E-17</v>
      </c>
      <c r="AB66" s="201">
        <f t="shared" si="1"/>
        <v>0</v>
      </c>
      <c r="AC66" s="202">
        <f t="shared" si="2"/>
        <v>0</v>
      </c>
    </row>
    <row r="67" spans="1:29" ht="15">
      <c r="A67" s="7"/>
      <c r="B67" s="7"/>
      <c r="C67" s="203"/>
      <c r="D67" s="190"/>
      <c r="E67" s="8"/>
      <c r="F67" s="8"/>
      <c r="G67" s="8"/>
      <c r="H67" s="7"/>
      <c r="I67" s="7"/>
      <c r="J67" s="191">
        <v>5</v>
      </c>
      <c r="K67" s="192" t="s">
        <v>2312</v>
      </c>
      <c r="L67" s="193"/>
      <c r="M67" s="193"/>
      <c r="N67" s="193"/>
      <c r="O67" s="193">
        <f>1-ASM1_f_P</f>
        <v>0.92</v>
      </c>
      <c r="P67" s="193"/>
      <c r="Q67" s="193">
        <v>-1</v>
      </c>
      <c r="R67" s="193">
        <f>ASM1_f_P</f>
        <v>0.08</v>
      </c>
      <c r="S67" s="193"/>
      <c r="T67" s="193"/>
      <c r="U67" s="193"/>
      <c r="V67" s="193"/>
      <c r="W67" s="193">
        <f>ASM1_i_XB-ASM1_f_P*ASM1_i_XP</f>
        <v>0.0812</v>
      </c>
      <c r="X67" s="193"/>
      <c r="Y67" s="207"/>
      <c r="Z67" s="156"/>
      <c r="AA67" s="200">
        <f t="shared" si="0"/>
        <v>4.163336342344337E-17</v>
      </c>
      <c r="AB67" s="201">
        <f t="shared" si="1"/>
        <v>0</v>
      </c>
      <c r="AC67" s="202">
        <f t="shared" si="2"/>
        <v>0</v>
      </c>
    </row>
    <row r="68" spans="1:29" ht="30">
      <c r="A68" s="7"/>
      <c r="B68" s="7"/>
      <c r="C68" s="208"/>
      <c r="D68" s="209"/>
      <c r="E68" s="8"/>
      <c r="F68" s="8"/>
      <c r="G68" s="8"/>
      <c r="H68" s="7"/>
      <c r="I68" s="7"/>
      <c r="J68" s="191">
        <v>6</v>
      </c>
      <c r="K68" s="192" t="s">
        <v>2316</v>
      </c>
      <c r="L68" s="193"/>
      <c r="M68" s="193"/>
      <c r="N68" s="193"/>
      <c r="O68" s="193"/>
      <c r="P68" s="193"/>
      <c r="Q68" s="193"/>
      <c r="R68" s="193"/>
      <c r="S68" s="193"/>
      <c r="T68" s="193"/>
      <c r="U68" s="193">
        <v>1</v>
      </c>
      <c r="V68" s="193">
        <v>-1</v>
      </c>
      <c r="W68" s="193"/>
      <c r="X68" s="194">
        <f>ASM1_i_Charge_NHx</f>
        <v>0.07142857142857142</v>
      </c>
      <c r="Y68" s="204"/>
      <c r="Z68" s="156"/>
      <c r="AA68" s="200">
        <f t="shared" si="0"/>
        <v>0</v>
      </c>
      <c r="AB68" s="201">
        <f t="shared" si="1"/>
        <v>0</v>
      </c>
      <c r="AC68" s="202">
        <f t="shared" si="2"/>
        <v>0</v>
      </c>
    </row>
    <row r="69" spans="1:29" ht="30">
      <c r="A69" s="7"/>
      <c r="B69" s="7"/>
      <c r="C69" s="208"/>
      <c r="D69" s="209"/>
      <c r="E69" s="8"/>
      <c r="F69" s="8"/>
      <c r="G69" s="8"/>
      <c r="H69" s="7"/>
      <c r="I69" s="7"/>
      <c r="J69" s="191">
        <v>7</v>
      </c>
      <c r="K69" s="192" t="s">
        <v>2321</v>
      </c>
      <c r="L69" s="193"/>
      <c r="M69" s="193">
        <v>1</v>
      </c>
      <c r="N69" s="193"/>
      <c r="O69" s="193">
        <v>-1</v>
      </c>
      <c r="P69" s="193"/>
      <c r="Q69" s="193"/>
      <c r="R69" s="193"/>
      <c r="S69" s="193"/>
      <c r="T69" s="193"/>
      <c r="U69" s="193"/>
      <c r="V69" s="193"/>
      <c r="W69" s="193"/>
      <c r="X69" s="193"/>
      <c r="Y69" s="207"/>
      <c r="Z69" s="156"/>
      <c r="AA69" s="200">
        <f t="shared" si="0"/>
        <v>0</v>
      </c>
      <c r="AB69" s="201">
        <f t="shared" si="1"/>
        <v>0</v>
      </c>
      <c r="AC69" s="202">
        <f t="shared" si="2"/>
        <v>0</v>
      </c>
    </row>
    <row r="70" spans="1:29" ht="30.75" thickBot="1">
      <c r="A70" s="7"/>
      <c r="B70" s="7"/>
      <c r="C70" s="208"/>
      <c r="D70" s="209"/>
      <c r="E70" s="8"/>
      <c r="F70" s="8"/>
      <c r="G70" s="8"/>
      <c r="H70" s="7"/>
      <c r="I70" s="7"/>
      <c r="J70" s="210">
        <v>8</v>
      </c>
      <c r="K70" s="211" t="s">
        <v>2324</v>
      </c>
      <c r="L70" s="212"/>
      <c r="M70" s="212"/>
      <c r="N70" s="212"/>
      <c r="O70" s="212"/>
      <c r="P70" s="212"/>
      <c r="Q70" s="212"/>
      <c r="R70" s="212"/>
      <c r="S70" s="212"/>
      <c r="T70" s="212"/>
      <c r="U70" s="212"/>
      <c r="V70" s="212">
        <v>1</v>
      </c>
      <c r="W70" s="212">
        <v>-1</v>
      </c>
      <c r="X70" s="212"/>
      <c r="Y70" s="213"/>
      <c r="Z70" s="156"/>
      <c r="AA70" s="214">
        <f t="shared" si="0"/>
        <v>0</v>
      </c>
      <c r="AB70" s="215">
        <f t="shared" si="1"/>
        <v>0</v>
      </c>
      <c r="AC70" s="216">
        <f t="shared" si="2"/>
        <v>0</v>
      </c>
    </row>
    <row r="71" spans="1:29" ht="14.25">
      <c r="A71" s="7"/>
      <c r="B71" s="7"/>
      <c r="C71" s="208"/>
      <c r="D71" s="209"/>
      <c r="E71" s="8"/>
      <c r="F71" s="8"/>
      <c r="G71" s="8"/>
      <c r="H71" s="7"/>
      <c r="I71" s="7"/>
      <c r="J71" s="8"/>
      <c r="K71" s="8"/>
      <c r="L71" s="217"/>
      <c r="M71" s="217"/>
      <c r="N71" s="217"/>
      <c r="O71" s="217"/>
      <c r="P71" s="217"/>
      <c r="Q71" s="217"/>
      <c r="R71" s="217"/>
      <c r="S71" s="217"/>
      <c r="T71" s="217"/>
      <c r="U71" s="217"/>
      <c r="V71" s="217"/>
      <c r="W71" s="217"/>
      <c r="X71" s="217"/>
      <c r="Y71" s="218"/>
      <c r="Z71" s="9"/>
      <c r="AA71" s="9"/>
      <c r="AB71" s="9"/>
      <c r="AC71" s="9"/>
    </row>
    <row r="72" spans="1:29" ht="15" thickBot="1">
      <c r="A72" s="7"/>
      <c r="B72" s="7"/>
      <c r="C72" s="208"/>
      <c r="D72" s="209"/>
      <c r="E72" s="8"/>
      <c r="F72" s="8"/>
      <c r="G72" s="8"/>
      <c r="H72" s="7"/>
      <c r="I72" s="7"/>
      <c r="J72" s="8"/>
      <c r="K72" s="8"/>
      <c r="L72" s="217"/>
      <c r="M72" s="217"/>
      <c r="N72" s="217"/>
      <c r="O72" s="217"/>
      <c r="P72" s="217"/>
      <c r="Q72" s="217"/>
      <c r="R72" s="217"/>
      <c r="S72" s="217"/>
      <c r="T72" s="217"/>
      <c r="U72" s="217"/>
      <c r="V72" s="217"/>
      <c r="W72" s="217"/>
      <c r="X72" s="217"/>
      <c r="Y72" s="218"/>
      <c r="Z72" s="9"/>
      <c r="AA72" s="9"/>
      <c r="AB72" s="9"/>
      <c r="AC72" s="9"/>
    </row>
    <row r="73" spans="1:29" ht="30.75" thickBot="1">
      <c r="A73" s="7"/>
      <c r="B73" s="7"/>
      <c r="C73" s="219"/>
      <c r="D73" s="209"/>
      <c r="E73" s="8"/>
      <c r="F73" s="8"/>
      <c r="G73" s="8"/>
      <c r="H73" s="7"/>
      <c r="I73" s="7"/>
      <c r="J73" s="1331" t="s">
        <v>2421</v>
      </c>
      <c r="K73" s="1332"/>
      <c r="L73" s="1332"/>
      <c r="M73" s="1332"/>
      <c r="N73" s="1332"/>
      <c r="O73" s="1332"/>
      <c r="P73" s="1332"/>
      <c r="Q73" s="1332"/>
      <c r="R73" s="1332"/>
      <c r="S73" s="1332"/>
      <c r="T73" s="1332"/>
      <c r="U73" s="1332"/>
      <c r="V73" s="1332"/>
      <c r="W73" s="1332"/>
      <c r="X73" s="1332"/>
      <c r="Y73" s="1332"/>
      <c r="Z73" s="1332"/>
      <c r="AA73" s="1332"/>
      <c r="AB73" s="1332"/>
      <c r="AC73" s="1333"/>
    </row>
    <row r="74" spans="1:29" ht="14.25">
      <c r="A74" s="7"/>
      <c r="B74" s="7"/>
      <c r="C74" s="219"/>
      <c r="D74" s="209"/>
      <c r="E74" s="8"/>
      <c r="F74" s="8"/>
      <c r="G74" s="8"/>
      <c r="H74" s="7"/>
      <c r="I74" s="7"/>
      <c r="J74" s="8"/>
      <c r="K74" s="8"/>
      <c r="L74" s="8"/>
      <c r="M74" s="8"/>
      <c r="N74" s="8"/>
      <c r="O74" s="8"/>
      <c r="P74" s="8"/>
      <c r="Q74" s="8"/>
      <c r="R74" s="8"/>
      <c r="S74" s="8"/>
      <c r="T74" s="8"/>
      <c r="U74" s="8"/>
      <c r="V74" s="8"/>
      <c r="W74" s="8"/>
      <c r="X74" s="8"/>
      <c r="Y74" s="9"/>
      <c r="Z74" s="9"/>
      <c r="AA74" s="9"/>
      <c r="AB74" s="9"/>
      <c r="AC74" s="9"/>
    </row>
    <row r="75" spans="1:29" ht="18.75" thickBot="1">
      <c r="A75" s="7"/>
      <c r="B75" s="7"/>
      <c r="C75" s="219"/>
      <c r="D75" s="209"/>
      <c r="E75" s="8"/>
      <c r="F75" s="8"/>
      <c r="G75" s="8"/>
      <c r="H75" s="7"/>
      <c r="I75" s="7"/>
      <c r="J75" s="8"/>
      <c r="K75" s="8"/>
      <c r="L75" s="8"/>
      <c r="M75" s="1334" t="s">
        <v>2422</v>
      </c>
      <c r="N75" s="1334"/>
      <c r="O75" s="1334"/>
      <c r="P75" s="1334"/>
      <c r="Q75" s="1334"/>
      <c r="R75" s="1334"/>
      <c r="S75" s="1334" t="s">
        <v>2423</v>
      </c>
      <c r="T75" s="1334"/>
      <c r="U75" s="1334"/>
      <c r="V75" s="1334"/>
      <c r="W75" s="1334"/>
      <c r="X75" s="8"/>
      <c r="Y75" s="9"/>
      <c r="Z75" s="9"/>
      <c r="AA75" s="9"/>
      <c r="AB75" s="9"/>
      <c r="AC75" s="9"/>
    </row>
    <row r="76" spans="1:29" ht="15" thickBot="1">
      <c r="A76" s="7"/>
      <c r="B76" s="7"/>
      <c r="C76" s="219"/>
      <c r="D76" s="220"/>
      <c r="E76" s="8"/>
      <c r="F76" s="8"/>
      <c r="G76" s="8"/>
      <c r="H76" s="7"/>
      <c r="I76" s="7"/>
      <c r="J76" s="8"/>
      <c r="K76" s="8"/>
      <c r="L76" s="221"/>
      <c r="M76" s="1328" t="s">
        <v>2424</v>
      </c>
      <c r="N76" s="1329"/>
      <c r="O76" s="1329"/>
      <c r="P76" s="1329"/>
      <c r="Q76" s="1329"/>
      <c r="R76" s="1329"/>
      <c r="S76" s="1329" t="s">
        <v>2425</v>
      </c>
      <c r="T76" s="1329"/>
      <c r="U76" s="1329"/>
      <c r="V76" s="1329"/>
      <c r="W76" s="1329"/>
      <c r="X76" s="8"/>
      <c r="Y76" s="9"/>
      <c r="Z76" s="9"/>
      <c r="AA76" s="9"/>
      <c r="AB76" s="9"/>
      <c r="AC76" s="9"/>
    </row>
    <row r="77" spans="1:29" ht="15" thickBot="1">
      <c r="A77" s="7"/>
      <c r="B77" s="7"/>
      <c r="C77" s="219"/>
      <c r="D77" s="209"/>
      <c r="E77" s="8"/>
      <c r="F77" s="8"/>
      <c r="G77" s="8"/>
      <c r="H77" s="7"/>
      <c r="I77" s="7"/>
      <c r="J77" s="8"/>
      <c r="K77" s="8"/>
      <c r="L77" s="222"/>
      <c r="M77" s="1328" t="s">
        <v>2426</v>
      </c>
      <c r="N77" s="1329"/>
      <c r="O77" s="1329"/>
      <c r="P77" s="1329"/>
      <c r="Q77" s="1329"/>
      <c r="R77" s="1329"/>
      <c r="S77" s="1329" t="s">
        <v>2427</v>
      </c>
      <c r="T77" s="1329"/>
      <c r="U77" s="1329"/>
      <c r="V77" s="1329"/>
      <c r="W77" s="1329"/>
      <c r="X77" s="8"/>
      <c r="Y77" s="9"/>
      <c r="Z77" s="9"/>
      <c r="AA77" s="9"/>
      <c r="AB77" s="9"/>
      <c r="AC77" s="9"/>
    </row>
    <row r="78" spans="1:29" ht="15" thickBot="1">
      <c r="A78" s="7"/>
      <c r="B78" s="7"/>
      <c r="C78" s="219"/>
      <c r="D78" s="209"/>
      <c r="E78" s="8"/>
      <c r="F78" s="8"/>
      <c r="G78" s="8"/>
      <c r="H78" s="7"/>
      <c r="I78" s="7"/>
      <c r="J78" s="8"/>
      <c r="K78" s="8"/>
      <c r="L78" s="223"/>
      <c r="M78" s="1328" t="s">
        <v>2428</v>
      </c>
      <c r="N78" s="1329"/>
      <c r="O78" s="1329"/>
      <c r="P78" s="1329"/>
      <c r="Q78" s="1329"/>
      <c r="R78" s="1329"/>
      <c r="S78" s="1329" t="s">
        <v>2425</v>
      </c>
      <c r="T78" s="1329"/>
      <c r="U78" s="1329"/>
      <c r="V78" s="1329"/>
      <c r="W78" s="1329"/>
      <c r="X78" s="8"/>
      <c r="Y78" s="9"/>
      <c r="Z78" s="9"/>
      <c r="AA78" s="9"/>
      <c r="AB78" s="9"/>
      <c r="AC78" s="9"/>
    </row>
    <row r="79" spans="1:29" ht="15" thickBot="1">
      <c r="A79" s="7"/>
      <c r="B79" s="7"/>
      <c r="C79" s="219"/>
      <c r="D79" s="209"/>
      <c r="E79" s="8"/>
      <c r="F79" s="8"/>
      <c r="G79" s="8"/>
      <c r="H79" s="7"/>
      <c r="I79" s="7"/>
      <c r="J79" s="8"/>
      <c r="K79" s="8"/>
      <c r="L79" s="224"/>
      <c r="M79" s="1328" t="s">
        <v>2429</v>
      </c>
      <c r="N79" s="1329"/>
      <c r="O79" s="1329"/>
      <c r="P79" s="1329"/>
      <c r="Q79" s="1329"/>
      <c r="R79" s="1329"/>
      <c r="S79" s="1329" t="s">
        <v>2430</v>
      </c>
      <c r="T79" s="1329"/>
      <c r="U79" s="1329"/>
      <c r="V79" s="1329"/>
      <c r="W79" s="1329"/>
      <c r="X79" s="8"/>
      <c r="Y79" s="9"/>
      <c r="Z79" s="9"/>
      <c r="AA79" s="9"/>
      <c r="AB79" s="9"/>
      <c r="AC79" s="9"/>
    </row>
    <row r="80" spans="1:29" ht="15" thickBot="1">
      <c r="A80" s="7"/>
      <c r="B80" s="7"/>
      <c r="C80" s="219"/>
      <c r="D80" s="209"/>
      <c r="E80" s="8"/>
      <c r="F80" s="8"/>
      <c r="G80" s="8"/>
      <c r="H80" s="7"/>
      <c r="I80" s="7"/>
      <c r="J80" s="8"/>
      <c r="K80" s="8"/>
      <c r="L80" s="8"/>
      <c r="M80" s="8"/>
      <c r="N80" s="8"/>
      <c r="O80" s="8"/>
      <c r="P80" s="8"/>
      <c r="Q80" s="8"/>
      <c r="R80" s="8"/>
      <c r="S80" s="8"/>
      <c r="T80" s="8"/>
      <c r="U80" s="8"/>
      <c r="V80" s="8"/>
      <c r="W80" s="8"/>
      <c r="X80" s="8"/>
      <c r="Y80" s="9"/>
      <c r="Z80" s="9"/>
      <c r="AA80" s="9"/>
      <c r="AB80" s="9"/>
      <c r="AC80" s="9"/>
    </row>
    <row r="81" spans="1:29" ht="15">
      <c r="A81" s="7"/>
      <c r="B81" s="7"/>
      <c r="C81" s="219"/>
      <c r="D81" s="209"/>
      <c r="E81" s="8"/>
      <c r="F81" s="8"/>
      <c r="G81" s="8"/>
      <c r="H81" s="7"/>
      <c r="I81" s="7"/>
      <c r="J81" s="8"/>
      <c r="K81" s="225" t="s">
        <v>2431</v>
      </c>
      <c r="L81" s="226" t="s">
        <v>2432</v>
      </c>
      <c r="M81" s="226" t="s">
        <v>2433</v>
      </c>
      <c r="N81" s="226" t="s">
        <v>2434</v>
      </c>
      <c r="O81" s="226" t="s">
        <v>2435</v>
      </c>
      <c r="P81" s="226" t="s">
        <v>2436</v>
      </c>
      <c r="Q81" s="226" t="s">
        <v>2437</v>
      </c>
      <c r="R81" s="226" t="s">
        <v>2438</v>
      </c>
      <c r="S81" s="226" t="s">
        <v>2439</v>
      </c>
      <c r="T81" s="226" t="s">
        <v>2440</v>
      </c>
      <c r="U81" s="226" t="s">
        <v>2441</v>
      </c>
      <c r="V81" s="226" t="s">
        <v>2442</v>
      </c>
      <c r="W81" s="226" t="s">
        <v>2443</v>
      </c>
      <c r="X81" s="226" t="s">
        <v>2444</v>
      </c>
      <c r="Y81" s="227" t="s">
        <v>2445</v>
      </c>
      <c r="Z81" s="9"/>
      <c r="AA81" s="9"/>
      <c r="AB81" s="9"/>
      <c r="AC81" s="9"/>
    </row>
    <row r="82" spans="1:29" ht="25.5">
      <c r="A82" s="7"/>
      <c r="B82" s="7"/>
      <c r="C82" s="219"/>
      <c r="D82" s="220"/>
      <c r="E82" s="8"/>
      <c r="F82" s="8"/>
      <c r="G82" s="8"/>
      <c r="H82" s="7"/>
      <c r="I82" s="7"/>
      <c r="J82" s="8"/>
      <c r="K82" s="191" t="s">
        <v>2294</v>
      </c>
      <c r="L82" s="228"/>
      <c r="M82" s="229"/>
      <c r="N82" s="228"/>
      <c r="O82" s="228"/>
      <c r="P82" s="230"/>
      <c r="Q82" s="228"/>
      <c r="R82" s="228"/>
      <c r="S82" s="229"/>
      <c r="T82" s="228"/>
      <c r="U82" s="229"/>
      <c r="V82" s="228"/>
      <c r="W82" s="228"/>
      <c r="X82" s="231" t="s">
        <v>2446</v>
      </c>
      <c r="Y82" s="232"/>
      <c r="Z82" s="9"/>
      <c r="AA82" s="9"/>
      <c r="AB82" s="9"/>
      <c r="AC82" s="9"/>
    </row>
    <row r="83" spans="1:29" ht="25.5">
      <c r="A83" s="7"/>
      <c r="B83" s="7"/>
      <c r="C83" s="219"/>
      <c r="D83" s="209"/>
      <c r="E83" s="8"/>
      <c r="F83" s="8"/>
      <c r="G83" s="8"/>
      <c r="H83" s="7"/>
      <c r="I83" s="7"/>
      <c r="J83" s="8"/>
      <c r="K83" s="191" t="s">
        <v>2298</v>
      </c>
      <c r="L83" s="228"/>
      <c r="M83" s="229"/>
      <c r="N83" s="228"/>
      <c r="O83" s="228"/>
      <c r="P83" s="230"/>
      <c r="Q83" s="228"/>
      <c r="R83" s="228"/>
      <c r="S83" s="233"/>
      <c r="T83" s="229"/>
      <c r="U83" s="229"/>
      <c r="V83" s="228"/>
      <c r="W83" s="228"/>
      <c r="X83" s="234"/>
      <c r="Y83" s="232"/>
      <c r="Z83" s="9"/>
      <c r="AA83" s="9"/>
      <c r="AB83" s="9"/>
      <c r="AC83" s="9"/>
    </row>
    <row r="84" spans="1:29" ht="25.5">
      <c r="A84" s="7"/>
      <c r="B84" s="7"/>
      <c r="C84" s="219"/>
      <c r="D84" s="209"/>
      <c r="E84" s="8"/>
      <c r="F84" s="8"/>
      <c r="G84" s="8"/>
      <c r="H84" s="7"/>
      <c r="I84" s="7"/>
      <c r="J84" s="8"/>
      <c r="K84" s="191" t="s">
        <v>2303</v>
      </c>
      <c r="L84" s="228"/>
      <c r="M84" s="228"/>
      <c r="N84" s="228"/>
      <c r="O84" s="228"/>
      <c r="P84" s="228"/>
      <c r="Q84" s="230"/>
      <c r="R84" s="228"/>
      <c r="S84" s="229"/>
      <c r="T84" s="235"/>
      <c r="U84" s="229"/>
      <c r="V84" s="228"/>
      <c r="W84" s="228"/>
      <c r="X84" s="229" t="s">
        <v>2446</v>
      </c>
      <c r="Y84" s="236"/>
      <c r="Z84" s="9"/>
      <c r="AA84" s="9"/>
      <c r="AB84" s="9"/>
      <c r="AC84" s="9"/>
    </row>
    <row r="85" spans="1:29" ht="14.25">
      <c r="A85" s="7"/>
      <c r="B85" s="7"/>
      <c r="C85" s="219"/>
      <c r="D85" s="209"/>
      <c r="E85" s="8"/>
      <c r="F85" s="8"/>
      <c r="G85" s="8"/>
      <c r="H85" s="7"/>
      <c r="I85" s="7"/>
      <c r="J85" s="8"/>
      <c r="K85" s="205" t="s">
        <v>2307</v>
      </c>
      <c r="L85" s="228"/>
      <c r="M85" s="228"/>
      <c r="N85" s="228"/>
      <c r="O85" s="228"/>
      <c r="P85" s="230"/>
      <c r="Q85" s="228"/>
      <c r="R85" s="228"/>
      <c r="S85" s="228"/>
      <c r="T85" s="228"/>
      <c r="U85" s="228"/>
      <c r="V85" s="228"/>
      <c r="W85" s="228"/>
      <c r="X85" s="228"/>
      <c r="Y85" s="237"/>
      <c r="Z85" s="9"/>
      <c r="AA85" s="9"/>
      <c r="AB85" s="9"/>
      <c r="AC85" s="9"/>
    </row>
    <row r="86" spans="1:29" ht="14.25">
      <c r="A86" s="7"/>
      <c r="B86" s="7"/>
      <c r="C86" s="219"/>
      <c r="D86" s="209"/>
      <c r="E86" s="8"/>
      <c r="F86" s="8"/>
      <c r="G86" s="8"/>
      <c r="H86" s="7"/>
      <c r="I86" s="7"/>
      <c r="J86" s="8"/>
      <c r="K86" s="191" t="s">
        <v>2312</v>
      </c>
      <c r="L86" s="228"/>
      <c r="M86" s="228"/>
      <c r="N86" s="228"/>
      <c r="O86" s="228"/>
      <c r="P86" s="228"/>
      <c r="Q86" s="230"/>
      <c r="R86" s="228"/>
      <c r="S86" s="228"/>
      <c r="T86" s="228"/>
      <c r="U86" s="228"/>
      <c r="V86" s="228"/>
      <c r="W86" s="228"/>
      <c r="X86" s="228"/>
      <c r="Y86" s="237"/>
      <c r="Z86" s="9"/>
      <c r="AA86" s="9"/>
      <c r="AB86" s="9"/>
      <c r="AC86" s="9"/>
    </row>
    <row r="87" spans="1:29" ht="25.5">
      <c r="A87" s="7"/>
      <c r="B87" s="7"/>
      <c r="C87" s="183"/>
      <c r="D87" s="184"/>
      <c r="E87" s="8"/>
      <c r="F87" s="8"/>
      <c r="G87" s="8"/>
      <c r="H87" s="7"/>
      <c r="I87" s="7"/>
      <c r="J87" s="8"/>
      <c r="K87" s="191" t="s">
        <v>2316</v>
      </c>
      <c r="L87" s="228"/>
      <c r="M87" s="228"/>
      <c r="N87" s="228"/>
      <c r="O87" s="228"/>
      <c r="P87" s="230"/>
      <c r="Q87" s="228"/>
      <c r="R87" s="228"/>
      <c r="S87" s="228"/>
      <c r="T87" s="228"/>
      <c r="U87" s="228"/>
      <c r="V87" s="238"/>
      <c r="W87" s="228"/>
      <c r="X87" s="235"/>
      <c r="Y87" s="236"/>
      <c r="Z87" s="9"/>
      <c r="AA87" s="9"/>
      <c r="AB87" s="9"/>
      <c r="AC87" s="9"/>
    </row>
    <row r="88" spans="1:29" ht="25.5">
      <c r="A88" s="7"/>
      <c r="B88" s="7"/>
      <c r="C88" s="7"/>
      <c r="D88" s="8"/>
      <c r="E88" s="8"/>
      <c r="F88" s="8"/>
      <c r="G88" s="8"/>
      <c r="H88" s="7"/>
      <c r="I88" s="7"/>
      <c r="J88" s="8"/>
      <c r="K88" s="191" t="s">
        <v>2321</v>
      </c>
      <c r="L88" s="228"/>
      <c r="M88" s="228"/>
      <c r="N88" s="228"/>
      <c r="O88" s="238"/>
      <c r="P88" s="230"/>
      <c r="Q88" s="228"/>
      <c r="R88" s="228"/>
      <c r="S88" s="239"/>
      <c r="T88" s="239"/>
      <c r="U88" s="228"/>
      <c r="V88" s="228"/>
      <c r="W88" s="228"/>
      <c r="X88" s="228"/>
      <c r="Y88" s="237"/>
      <c r="Z88" s="9"/>
      <c r="AA88" s="9"/>
      <c r="AB88" s="9"/>
      <c r="AC88" s="9"/>
    </row>
    <row r="89" spans="1:29" ht="26.25" thickBot="1">
      <c r="A89" s="7"/>
      <c r="B89" s="7"/>
      <c r="C89" s="7"/>
      <c r="D89" s="8"/>
      <c r="E89" s="8"/>
      <c r="F89" s="8"/>
      <c r="G89" s="8"/>
      <c r="H89" s="7"/>
      <c r="I89" s="7"/>
      <c r="J89" s="8"/>
      <c r="K89" s="210" t="s">
        <v>2324</v>
      </c>
      <c r="L89" s="240"/>
      <c r="M89" s="240"/>
      <c r="N89" s="240"/>
      <c r="O89" s="240"/>
      <c r="P89" s="241"/>
      <c r="Q89" s="240"/>
      <c r="R89" s="240"/>
      <c r="S89" s="242"/>
      <c r="T89" s="242"/>
      <c r="U89" s="240"/>
      <c r="V89" s="240"/>
      <c r="W89" s="243"/>
      <c r="X89" s="240"/>
      <c r="Y89" s="244"/>
      <c r="Z89" s="9"/>
      <c r="AA89" s="9"/>
      <c r="AB89" s="9"/>
      <c r="AC89" s="9"/>
    </row>
    <row r="90" spans="1:29" ht="14.25">
      <c r="A90" s="7"/>
      <c r="B90" s="7"/>
      <c r="C90" s="7"/>
      <c r="D90" s="8"/>
      <c r="E90" s="8"/>
      <c r="F90" s="8"/>
      <c r="G90" s="8"/>
      <c r="H90" s="7"/>
      <c r="I90" s="7"/>
      <c r="J90" s="8"/>
      <c r="K90" s="8"/>
      <c r="L90" s="8"/>
      <c r="M90" s="8"/>
      <c r="N90" s="8"/>
      <c r="O90" s="8"/>
      <c r="P90" s="8"/>
      <c r="Q90" s="8"/>
      <c r="R90" s="8"/>
      <c r="S90" s="8"/>
      <c r="T90" s="8"/>
      <c r="U90" s="8"/>
      <c r="V90" s="8"/>
      <c r="W90" s="8"/>
      <c r="X90" s="8"/>
      <c r="Y90" s="9"/>
      <c r="Z90" s="9"/>
      <c r="AA90" s="9"/>
      <c r="AB90" s="9"/>
      <c r="AC90" s="9"/>
    </row>
    <row r="91" spans="1:29" ht="14.25">
      <c r="A91" s="7"/>
      <c r="B91" s="7"/>
      <c r="C91" s="7"/>
      <c r="D91" s="8"/>
      <c r="E91" s="8"/>
      <c r="F91" s="8"/>
      <c r="G91" s="8"/>
      <c r="H91" s="7"/>
      <c r="I91" s="7"/>
      <c r="J91" s="8"/>
      <c r="K91" s="1330" t="s">
        <v>2447</v>
      </c>
      <c r="L91" s="1330"/>
      <c r="M91" s="1330"/>
      <c r="N91" s="1330"/>
      <c r="O91" s="1330"/>
      <c r="P91" s="1330"/>
      <c r="Q91" s="1330"/>
      <c r="R91" s="1330"/>
      <c r="S91" s="1330"/>
      <c r="T91" s="1330"/>
      <c r="U91" s="1330"/>
      <c r="V91" s="1330"/>
      <c r="W91" s="1330"/>
      <c r="X91" s="1330"/>
      <c r="Y91" s="1330"/>
      <c r="Z91" s="245"/>
      <c r="AA91" s="245"/>
      <c r="AB91" s="245"/>
      <c r="AC91" s="245"/>
    </row>
  </sheetData>
  <mergeCells count="47">
    <mergeCell ref="B3:AC3"/>
    <mergeCell ref="B5:G5"/>
    <mergeCell ref="K5:L5"/>
    <mergeCell ref="M5:Y5"/>
    <mergeCell ref="B7:G8"/>
    <mergeCell ref="K7:L7"/>
    <mergeCell ref="M7:S7"/>
    <mergeCell ref="B9:G9"/>
    <mergeCell ref="J9:AC9"/>
    <mergeCell ref="Z11:AC11"/>
    <mergeCell ref="B12:B24"/>
    <mergeCell ref="Z12:AC12"/>
    <mergeCell ref="Z13:AC13"/>
    <mergeCell ref="Z14:AC14"/>
    <mergeCell ref="Z15:AC15"/>
    <mergeCell ref="Z16:AC16"/>
    <mergeCell ref="Z17:AC17"/>
    <mergeCell ref="Z18:AC18"/>
    <mergeCell ref="Z19:AC19"/>
    <mergeCell ref="K20:Y20"/>
    <mergeCell ref="B25:B34"/>
    <mergeCell ref="J26:AC26"/>
    <mergeCell ref="Z28:AC28"/>
    <mergeCell ref="Z29:AC29"/>
    <mergeCell ref="Z30:AC30"/>
    <mergeCell ref="Z31:AC31"/>
    <mergeCell ref="Z32:AC32"/>
    <mergeCell ref="Z33:AC33"/>
    <mergeCell ref="Z34:AC34"/>
    <mergeCell ref="B35:B49"/>
    <mergeCell ref="Z35:AC35"/>
    <mergeCell ref="Z36:AC36"/>
    <mergeCell ref="K37:Y37"/>
    <mergeCell ref="J43:AC43"/>
    <mergeCell ref="Z45:AC45"/>
    <mergeCell ref="J73:AC73"/>
    <mergeCell ref="M75:R75"/>
    <mergeCell ref="S75:W75"/>
    <mergeCell ref="M76:R76"/>
    <mergeCell ref="S76:W76"/>
    <mergeCell ref="M79:R79"/>
    <mergeCell ref="S79:W79"/>
    <mergeCell ref="K91:Y91"/>
    <mergeCell ref="M77:R77"/>
    <mergeCell ref="S77:W77"/>
    <mergeCell ref="M78:R78"/>
    <mergeCell ref="S78:W78"/>
  </mergeCells>
  <printOptions/>
  <pageMargins left="0.75" right="0.75" top="1" bottom="1" header="0.4921259845" footer="0.4921259845"/>
  <pageSetup orientation="portrait" paperSize="9"/>
  <legacyDrawing r:id="rId4"/>
  <oleObjects>
    <oleObject progId="Equation.3" shapeId="600683" r:id="rId1"/>
    <oleObject progId="Equation.3" shapeId="600684" r:id="rId2"/>
    <oleObject progId="Equation.3" shapeId="600685" r:id="rId3"/>
  </oleObjects>
</worksheet>
</file>

<file path=xl/worksheets/sheet3.xml><?xml version="1.0" encoding="utf-8"?>
<worksheet xmlns="http://schemas.openxmlformats.org/spreadsheetml/2006/main" xmlns:r="http://schemas.openxmlformats.org/officeDocument/2006/relationships">
  <dimension ref="A1:AK150"/>
  <sheetViews>
    <sheetView zoomScale="55" zoomScaleNormal="55" workbookViewId="0" topLeftCell="A1">
      <selection activeCell="B9" sqref="B9:G9"/>
    </sheetView>
  </sheetViews>
  <sheetFormatPr defaultColWidth="9.140625" defaultRowHeight="12.75"/>
  <cols>
    <col min="1" max="1" width="1.57421875" style="0" customWidth="1"/>
    <col min="2" max="2" width="11.421875" style="0" customWidth="1"/>
    <col min="3" max="3" width="75.7109375" style="0" bestFit="1" customWidth="1"/>
    <col min="4" max="4" width="12.7109375" style="0" customWidth="1"/>
    <col min="5" max="5" width="22.7109375" style="0" bestFit="1" customWidth="1"/>
    <col min="6" max="6" width="26.28125" style="0" bestFit="1" customWidth="1"/>
    <col min="7" max="7" width="9.57421875" style="0" bestFit="1" customWidth="1"/>
    <col min="8" max="8" width="3.00390625" style="0" customWidth="1"/>
    <col min="9" max="9" width="3.7109375" style="0" customWidth="1"/>
    <col min="10" max="10" width="5.28125" style="0" bestFit="1" customWidth="1"/>
    <col min="11" max="11" width="28.8515625" style="0" customWidth="1"/>
    <col min="12" max="12" width="12.140625" style="0" customWidth="1"/>
    <col min="13" max="13" width="9.8515625" style="0" customWidth="1"/>
    <col min="14" max="14" width="12.140625" style="0" customWidth="1"/>
    <col min="15" max="15" width="20.00390625" style="0" customWidth="1"/>
    <col min="16" max="16" width="17.140625" style="0" customWidth="1"/>
    <col min="17" max="17" width="19.8515625" style="0" customWidth="1"/>
    <col min="18" max="18" width="11.140625" style="0" customWidth="1"/>
    <col min="19" max="19" width="33.140625" style="0" customWidth="1"/>
    <col min="20" max="20" width="17.421875" style="0" customWidth="1"/>
    <col min="21" max="21" width="12.140625" style="0" customWidth="1"/>
    <col min="22" max="22" width="10.8515625" style="0" customWidth="1"/>
    <col min="23" max="23" width="11.28125" style="0" customWidth="1"/>
    <col min="24" max="24" width="10.7109375" style="0" bestFit="1" customWidth="1"/>
    <col min="25" max="25" width="10.00390625" style="0" bestFit="1" customWidth="1"/>
    <col min="26" max="26" width="16.00390625" style="0" bestFit="1" customWidth="1"/>
    <col min="27" max="27" width="13.421875" style="0" bestFit="1" customWidth="1"/>
    <col min="28" max="28" width="27.28125" style="0" customWidth="1"/>
    <col min="29" max="29" width="12.7109375" style="0" bestFit="1" customWidth="1"/>
    <col min="30" max="30" width="11.57421875" style="0" bestFit="1" customWidth="1"/>
    <col min="31" max="31" width="11.421875" style="0" customWidth="1"/>
    <col min="32" max="32" width="10.7109375" style="0" customWidth="1"/>
    <col min="33" max="34" width="8.00390625" style="0" bestFit="1" customWidth="1"/>
    <col min="35" max="35" width="11.57421875" style="0" customWidth="1"/>
    <col min="36" max="36" width="15.140625" style="0" customWidth="1"/>
    <col min="37" max="16384" width="11.421875" style="0" customWidth="1"/>
  </cols>
  <sheetData>
    <row r="1" spans="1:37" ht="15">
      <c r="A1" s="7"/>
      <c r="B1" s="7"/>
      <c r="C1" s="246"/>
      <c r="D1" s="8"/>
      <c r="E1" s="247"/>
      <c r="F1" s="8"/>
      <c r="G1" s="8"/>
      <c r="H1" s="7"/>
      <c r="I1" s="7"/>
      <c r="J1" s="8"/>
      <c r="K1" s="8"/>
      <c r="L1" s="8"/>
      <c r="M1" s="8"/>
      <c r="N1" s="8"/>
      <c r="O1" s="8"/>
      <c r="P1" s="8"/>
      <c r="Q1" s="8"/>
      <c r="R1" s="8"/>
      <c r="S1" s="8"/>
      <c r="T1" s="8"/>
      <c r="U1" s="8"/>
      <c r="V1" s="8"/>
      <c r="W1" s="8"/>
      <c r="X1" s="8"/>
      <c r="Y1" s="9"/>
      <c r="Z1" s="9"/>
      <c r="AA1" s="9"/>
      <c r="AB1" s="9"/>
      <c r="AC1" s="9"/>
      <c r="AD1" s="9"/>
      <c r="AE1" s="9"/>
      <c r="AF1" s="9"/>
      <c r="AG1" s="9"/>
      <c r="AH1" s="9"/>
      <c r="AI1" s="9"/>
      <c r="AJ1" s="248"/>
      <c r="AK1" s="248"/>
    </row>
    <row r="2" spans="1:37" ht="15.75" thickBot="1">
      <c r="A2" s="7"/>
      <c r="B2" s="7"/>
      <c r="C2" s="246"/>
      <c r="D2" s="8"/>
      <c r="E2" s="247"/>
      <c r="F2" s="8"/>
      <c r="G2" s="8"/>
      <c r="H2" s="7"/>
      <c r="I2" s="7"/>
      <c r="J2" s="8"/>
      <c r="K2" s="8"/>
      <c r="L2" s="8"/>
      <c r="M2" s="8"/>
      <c r="N2" s="8"/>
      <c r="O2" s="8"/>
      <c r="P2" s="8"/>
      <c r="Q2" s="8"/>
      <c r="R2" s="8"/>
      <c r="S2" s="8"/>
      <c r="T2" s="8"/>
      <c r="U2" s="8"/>
      <c r="V2" s="8"/>
      <c r="W2" s="8"/>
      <c r="X2" s="8"/>
      <c r="Y2" s="9"/>
      <c r="Z2" s="9"/>
      <c r="AA2" s="9"/>
      <c r="AB2" s="9"/>
      <c r="AC2" s="9"/>
      <c r="AD2" s="9"/>
      <c r="AE2" s="9"/>
      <c r="AF2" s="9"/>
      <c r="AG2" s="9"/>
      <c r="AH2" s="9"/>
      <c r="AI2" s="9"/>
      <c r="AJ2" s="248"/>
      <c r="AK2" s="248"/>
    </row>
    <row r="3" spans="1:37" ht="34.5" thickBot="1">
      <c r="A3" s="7"/>
      <c r="B3" s="1325" t="s">
        <v>2448</v>
      </c>
      <c r="C3" s="1356"/>
      <c r="D3" s="1356"/>
      <c r="E3" s="1356"/>
      <c r="F3" s="1356"/>
      <c r="G3" s="1356"/>
      <c r="H3" s="1356"/>
      <c r="I3" s="1356"/>
      <c r="J3" s="1356"/>
      <c r="K3" s="1356"/>
      <c r="L3" s="1356"/>
      <c r="M3" s="1356"/>
      <c r="N3" s="1356"/>
      <c r="O3" s="1356"/>
      <c r="P3" s="1356"/>
      <c r="Q3" s="1356"/>
      <c r="R3" s="1356"/>
      <c r="S3" s="1356"/>
      <c r="T3" s="1356"/>
      <c r="U3" s="1356"/>
      <c r="V3" s="1356"/>
      <c r="W3" s="1356"/>
      <c r="X3" s="1356"/>
      <c r="Y3" s="1356"/>
      <c r="Z3" s="1356"/>
      <c r="AA3" s="1356"/>
      <c r="AB3" s="1356"/>
      <c r="AC3" s="1356"/>
      <c r="AD3" s="1356"/>
      <c r="AE3" s="1356"/>
      <c r="AF3" s="1356"/>
      <c r="AG3" s="1356"/>
      <c r="AH3" s="1356"/>
      <c r="AI3" s="1356"/>
      <c r="AJ3" s="1357"/>
      <c r="AK3" s="248"/>
    </row>
    <row r="4" spans="1:37" ht="15.75" thickBot="1">
      <c r="A4" s="7"/>
      <c r="B4" s="7"/>
      <c r="C4" s="246"/>
      <c r="D4" s="8"/>
      <c r="E4" s="247"/>
      <c r="F4" s="8"/>
      <c r="G4" s="8"/>
      <c r="H4" s="7"/>
      <c r="I4" s="7"/>
      <c r="J4" s="8"/>
      <c r="K4" s="8"/>
      <c r="L4" s="8"/>
      <c r="M4" s="8"/>
      <c r="N4" s="8"/>
      <c r="O4" s="8"/>
      <c r="P4" s="8"/>
      <c r="Q4" s="8"/>
      <c r="R4" s="8"/>
      <c r="S4" s="8"/>
      <c r="T4" s="8"/>
      <c r="U4" s="8"/>
      <c r="V4" s="8"/>
      <c r="W4" s="8"/>
      <c r="X4" s="8"/>
      <c r="Y4" s="9"/>
      <c r="Z4" s="9"/>
      <c r="AA4" s="9"/>
      <c r="AB4" s="9"/>
      <c r="AC4" s="9"/>
      <c r="AD4" s="9"/>
      <c r="AE4" s="9"/>
      <c r="AF4" s="9"/>
      <c r="AG4" s="9"/>
      <c r="AH4" s="9"/>
      <c r="AI4" s="9"/>
      <c r="AJ4" s="248"/>
      <c r="AK4" s="248"/>
    </row>
    <row r="5" spans="1:37" ht="30.75" thickBot="1">
      <c r="A5" s="7"/>
      <c r="B5" s="1331" t="s">
        <v>2263</v>
      </c>
      <c r="C5" s="1332"/>
      <c r="D5" s="1332"/>
      <c r="E5" s="1332"/>
      <c r="F5" s="1332"/>
      <c r="G5" s="1333"/>
      <c r="H5" s="7"/>
      <c r="I5" s="7"/>
      <c r="J5" s="8"/>
      <c r="K5" s="1352" t="s">
        <v>2264</v>
      </c>
      <c r="L5" s="1358"/>
      <c r="M5" s="1359" t="s">
        <v>2449</v>
      </c>
      <c r="N5" s="1360"/>
      <c r="O5" s="1360"/>
      <c r="P5" s="1360"/>
      <c r="Q5" s="1360"/>
      <c r="R5" s="1360"/>
      <c r="S5" s="1360"/>
      <c r="T5" s="1360"/>
      <c r="U5" s="1360"/>
      <c r="V5" s="1360"/>
      <c r="W5" s="1360"/>
      <c r="X5" s="1360"/>
      <c r="Y5" s="1360"/>
      <c r="Z5" s="1360"/>
      <c r="AA5" s="1360"/>
      <c r="AB5" s="1360"/>
      <c r="AC5" s="1360"/>
      <c r="AD5" s="1361"/>
      <c r="AE5" s="9"/>
      <c r="AF5" s="9"/>
      <c r="AG5" s="9"/>
      <c r="AH5" s="249"/>
      <c r="AI5" s="250"/>
      <c r="AJ5" s="250"/>
      <c r="AK5" s="250"/>
    </row>
    <row r="6" spans="1:37" ht="15.75" thickBot="1">
      <c r="A6" s="11"/>
      <c r="B6" s="7"/>
      <c r="C6" s="246"/>
      <c r="D6" s="8"/>
      <c r="E6" s="247"/>
      <c r="F6" s="8"/>
      <c r="G6" s="8"/>
      <c r="H6" s="7"/>
      <c r="I6" s="11"/>
      <c r="J6" s="8"/>
      <c r="K6" s="12"/>
      <c r="L6" s="12"/>
      <c r="M6" s="12"/>
      <c r="N6" s="12"/>
      <c r="O6" s="12"/>
      <c r="P6" s="12"/>
      <c r="Q6" s="8"/>
      <c r="R6" s="8"/>
      <c r="S6" s="8"/>
      <c r="T6" s="8"/>
      <c r="U6" s="8"/>
      <c r="V6" s="8"/>
      <c r="W6" s="8"/>
      <c r="X6" s="8"/>
      <c r="Y6" s="9"/>
      <c r="Z6" s="9"/>
      <c r="AA6" s="9"/>
      <c r="AB6" s="9"/>
      <c r="AC6" s="9"/>
      <c r="AD6" s="9"/>
      <c r="AE6" s="9"/>
      <c r="AF6" s="9"/>
      <c r="AG6" s="9"/>
      <c r="AH6" s="249"/>
      <c r="AI6" s="190"/>
      <c r="AJ6" s="251"/>
      <c r="AK6" s="190"/>
    </row>
    <row r="7" spans="1:37" ht="18.75" thickBot="1">
      <c r="A7" s="7"/>
      <c r="B7" s="1330" t="s">
        <v>2450</v>
      </c>
      <c r="C7" s="1330"/>
      <c r="D7" s="1330"/>
      <c r="E7" s="1330"/>
      <c r="F7" s="1330"/>
      <c r="G7" s="1330"/>
      <c r="H7" s="11"/>
      <c r="I7" s="7"/>
      <c r="J7" s="8"/>
      <c r="K7" s="1352" t="s">
        <v>2267</v>
      </c>
      <c r="L7" s="1353"/>
      <c r="M7" s="1354" t="s">
        <v>2268</v>
      </c>
      <c r="N7" s="1355"/>
      <c r="O7" s="1355"/>
      <c r="P7" s="1355"/>
      <c r="Q7" s="1355"/>
      <c r="R7" s="1355"/>
      <c r="S7" s="1326"/>
      <c r="T7" s="8"/>
      <c r="U7" s="8"/>
      <c r="V7" s="8"/>
      <c r="W7" s="8"/>
      <c r="X7" s="8"/>
      <c r="Y7" s="9"/>
      <c r="Z7" s="9"/>
      <c r="AA7" s="9"/>
      <c r="AB7" s="9"/>
      <c r="AC7" s="9"/>
      <c r="AD7" s="9"/>
      <c r="AE7" s="9"/>
      <c r="AF7" s="9"/>
      <c r="AG7" s="9"/>
      <c r="AH7" s="249"/>
      <c r="AI7" s="190"/>
      <c r="AJ7" s="251"/>
      <c r="AK7" s="190"/>
    </row>
    <row r="8" spans="1:37" ht="15" thickBot="1">
      <c r="A8" s="7"/>
      <c r="B8" s="1330"/>
      <c r="C8" s="1330"/>
      <c r="D8" s="1330"/>
      <c r="E8" s="1330"/>
      <c r="F8" s="1330"/>
      <c r="G8" s="1330"/>
      <c r="H8" s="11"/>
      <c r="I8" s="7"/>
      <c r="J8" s="8"/>
      <c r="K8" s="8"/>
      <c r="L8" s="8"/>
      <c r="M8" s="8"/>
      <c r="N8" s="8"/>
      <c r="O8" s="8"/>
      <c r="P8" s="8"/>
      <c r="Q8" s="8"/>
      <c r="R8" s="8"/>
      <c r="S8" s="8"/>
      <c r="T8" s="8"/>
      <c r="U8" s="8"/>
      <c r="V8" s="8"/>
      <c r="W8" s="8"/>
      <c r="X8" s="8"/>
      <c r="Y8" s="9"/>
      <c r="Z8" s="9"/>
      <c r="AA8" s="9"/>
      <c r="AB8" s="9"/>
      <c r="AC8" s="9"/>
      <c r="AD8" s="9"/>
      <c r="AE8" s="9"/>
      <c r="AF8" s="9"/>
      <c r="AG8" s="9"/>
      <c r="AH8" s="249"/>
      <c r="AI8" s="190"/>
      <c r="AJ8" s="251"/>
      <c r="AK8" s="190"/>
    </row>
    <row r="9" spans="1:37" ht="30.75" thickBot="1">
      <c r="A9" s="7"/>
      <c r="B9" s="1324" t="s">
        <v>1387</v>
      </c>
      <c r="C9" s="1324"/>
      <c r="D9" s="1324"/>
      <c r="E9" s="1324"/>
      <c r="F9" s="1324"/>
      <c r="G9" s="1324"/>
      <c r="H9" s="11"/>
      <c r="I9" s="7"/>
      <c r="J9" s="1331" t="s">
        <v>2269</v>
      </c>
      <c r="K9" s="1332"/>
      <c r="L9" s="1332"/>
      <c r="M9" s="1332"/>
      <c r="N9" s="1332"/>
      <c r="O9" s="1332"/>
      <c r="P9" s="1332"/>
      <c r="Q9" s="1332"/>
      <c r="R9" s="1332"/>
      <c r="S9" s="1332"/>
      <c r="T9" s="1332"/>
      <c r="U9" s="1332"/>
      <c r="V9" s="1332"/>
      <c r="W9" s="1332"/>
      <c r="X9" s="1332"/>
      <c r="Y9" s="1332"/>
      <c r="Z9" s="1332"/>
      <c r="AA9" s="1332"/>
      <c r="AB9" s="1332"/>
      <c r="AC9" s="1332"/>
      <c r="AD9" s="1332"/>
      <c r="AE9" s="1332"/>
      <c r="AF9" s="1332"/>
      <c r="AG9" s="1332"/>
      <c r="AH9" s="1332"/>
      <c r="AI9" s="1332"/>
      <c r="AJ9" s="1333"/>
      <c r="AK9" s="190"/>
    </row>
    <row r="10" spans="1:37" ht="15.75" thickBot="1">
      <c r="A10" s="7"/>
      <c r="B10" s="7"/>
      <c r="C10" s="246"/>
      <c r="D10" s="8"/>
      <c r="E10" s="247"/>
      <c r="F10" s="8"/>
      <c r="G10" s="7"/>
      <c r="H10" s="7"/>
      <c r="I10" s="7"/>
      <c r="J10" s="9"/>
      <c r="K10" s="9"/>
      <c r="L10" s="9"/>
      <c r="M10" s="9"/>
      <c r="N10" s="9"/>
      <c r="O10" s="9"/>
      <c r="P10" s="9"/>
      <c r="Q10" s="9"/>
      <c r="R10" s="9"/>
      <c r="S10" s="9"/>
      <c r="T10" s="9"/>
      <c r="U10" s="9"/>
      <c r="V10" s="9"/>
      <c r="W10" s="9"/>
      <c r="X10" s="9"/>
      <c r="Y10" s="9"/>
      <c r="Z10" s="9"/>
      <c r="AA10" s="9"/>
      <c r="AB10" s="9"/>
      <c r="AC10" s="9"/>
      <c r="AD10" s="9"/>
      <c r="AE10" s="9"/>
      <c r="AF10" s="9"/>
      <c r="AG10" s="9"/>
      <c r="AH10" s="249"/>
      <c r="AI10" s="249"/>
      <c r="AJ10" s="251"/>
      <c r="AK10" s="251"/>
    </row>
    <row r="11" spans="1:37" ht="30.75" thickBot="1">
      <c r="A11" s="7"/>
      <c r="B11" s="7"/>
      <c r="C11" s="252"/>
      <c r="D11" s="253" t="s">
        <v>2270</v>
      </c>
      <c r="E11" s="254" t="s">
        <v>2271</v>
      </c>
      <c r="F11" s="255" t="s">
        <v>2272</v>
      </c>
      <c r="G11" s="256" t="s">
        <v>2273</v>
      </c>
      <c r="H11" s="7"/>
      <c r="I11" s="7"/>
      <c r="J11" s="257"/>
      <c r="K11" s="258"/>
      <c r="L11" s="259" t="s">
        <v>2365</v>
      </c>
      <c r="M11" s="259" t="s">
        <v>2451</v>
      </c>
      <c r="N11" s="259" t="s">
        <v>2452</v>
      </c>
      <c r="O11" s="259" t="s">
        <v>2453</v>
      </c>
      <c r="P11" s="259" t="s">
        <v>2366</v>
      </c>
      <c r="Q11" s="259" t="s">
        <v>2454</v>
      </c>
      <c r="R11" s="259" t="s">
        <v>2274</v>
      </c>
      <c r="S11" s="259" t="s">
        <v>2286</v>
      </c>
      <c r="T11" s="259" t="s">
        <v>2455</v>
      </c>
      <c r="U11" s="259" t="s">
        <v>2276</v>
      </c>
      <c r="V11" s="259" t="s">
        <v>2277</v>
      </c>
      <c r="W11" s="259" t="s">
        <v>2456</v>
      </c>
      <c r="X11" s="259" t="s">
        <v>2457</v>
      </c>
      <c r="Y11" s="259" t="s">
        <v>2458</v>
      </c>
      <c r="Z11" s="259" t="s">
        <v>2459</v>
      </c>
      <c r="AA11" s="259" t="s">
        <v>2460</v>
      </c>
      <c r="AB11" s="259" t="s">
        <v>2461</v>
      </c>
      <c r="AC11" s="259" t="s">
        <v>2462</v>
      </c>
      <c r="AD11" s="260" t="s">
        <v>2463</v>
      </c>
      <c r="AE11" s="1375" t="s">
        <v>2288</v>
      </c>
      <c r="AF11" s="1376"/>
      <c r="AG11" s="1376"/>
      <c r="AH11" s="1376"/>
      <c r="AI11" s="1376"/>
      <c r="AJ11" s="1377"/>
      <c r="AK11" s="251"/>
    </row>
    <row r="12" spans="1:37" ht="53.25">
      <c r="A12" s="7"/>
      <c r="B12" s="1365" t="s">
        <v>2464</v>
      </c>
      <c r="C12" s="261" t="s">
        <v>2465</v>
      </c>
      <c r="D12" s="262" t="s">
        <v>2466</v>
      </c>
      <c r="E12" s="263" t="s">
        <v>2466</v>
      </c>
      <c r="F12" s="264" t="s">
        <v>2293</v>
      </c>
      <c r="G12" s="264"/>
      <c r="H12" s="11"/>
      <c r="I12" s="7"/>
      <c r="J12" s="52" t="s">
        <v>2467</v>
      </c>
      <c r="K12" s="53" t="s">
        <v>2468</v>
      </c>
      <c r="L12" s="265"/>
      <c r="M12" s="266" t="s">
        <v>1106</v>
      </c>
      <c r="N12" s="265"/>
      <c r="O12" s="266" t="s">
        <v>1107</v>
      </c>
      <c r="P12" s="265"/>
      <c r="Q12" s="267" t="s">
        <v>1108</v>
      </c>
      <c r="R12" s="268" t="s">
        <v>2469</v>
      </c>
      <c r="S12" s="269" t="s">
        <v>1109</v>
      </c>
      <c r="T12" s="265"/>
      <c r="U12" s="265"/>
      <c r="V12" s="265">
        <v>-1</v>
      </c>
      <c r="W12" s="265"/>
      <c r="X12" s="265"/>
      <c r="Y12" s="265"/>
      <c r="Z12" s="265"/>
      <c r="AA12" s="265"/>
      <c r="AB12" s="266" t="s">
        <v>1110</v>
      </c>
      <c r="AC12" s="265"/>
      <c r="AD12" s="270"/>
      <c r="AE12" s="1378" t="s">
        <v>1111</v>
      </c>
      <c r="AF12" s="1379"/>
      <c r="AG12" s="1379"/>
      <c r="AH12" s="1379"/>
      <c r="AI12" s="1379"/>
      <c r="AJ12" s="1380"/>
      <c r="AK12" s="248"/>
    </row>
    <row r="13" spans="1:37" ht="53.25">
      <c r="A13" s="7"/>
      <c r="B13" s="1366"/>
      <c r="C13" s="271" t="s">
        <v>2470</v>
      </c>
      <c r="D13" s="23" t="s">
        <v>2471</v>
      </c>
      <c r="E13" s="272" t="s">
        <v>2472</v>
      </c>
      <c r="F13" s="273" t="s">
        <v>2293</v>
      </c>
      <c r="G13" s="273"/>
      <c r="H13" s="7"/>
      <c r="I13" s="7"/>
      <c r="J13" s="52" t="s">
        <v>2473</v>
      </c>
      <c r="K13" s="53" t="s">
        <v>2474</v>
      </c>
      <c r="L13" s="265"/>
      <c r="M13" s="266" t="s">
        <v>1106</v>
      </c>
      <c r="N13" s="265"/>
      <c r="O13" s="266" t="s">
        <v>1107</v>
      </c>
      <c r="P13" s="265"/>
      <c r="Q13" s="266" t="s">
        <v>1108</v>
      </c>
      <c r="R13" s="268" t="s">
        <v>2469</v>
      </c>
      <c r="S13" s="269" t="s">
        <v>1112</v>
      </c>
      <c r="T13" s="265"/>
      <c r="U13" s="265"/>
      <c r="V13" s="265">
        <v>-1</v>
      </c>
      <c r="W13" s="265"/>
      <c r="X13" s="265"/>
      <c r="Y13" s="265"/>
      <c r="Z13" s="265"/>
      <c r="AA13" s="265"/>
      <c r="AB13" s="266" t="s">
        <v>1110</v>
      </c>
      <c r="AC13" s="265"/>
      <c r="AD13" s="270"/>
      <c r="AE13" s="1338" t="s">
        <v>1113</v>
      </c>
      <c r="AF13" s="1363"/>
      <c r="AG13" s="1363"/>
      <c r="AH13" s="1363"/>
      <c r="AI13" s="1363"/>
      <c r="AJ13" s="1364"/>
      <c r="AK13" s="248"/>
    </row>
    <row r="14" spans="1:37" ht="53.25">
      <c r="A14" s="7"/>
      <c r="B14" s="1366"/>
      <c r="C14" s="271" t="s">
        <v>2295</v>
      </c>
      <c r="D14" s="23" t="s">
        <v>2296</v>
      </c>
      <c r="E14" s="272" t="s">
        <v>2297</v>
      </c>
      <c r="F14" s="273" t="s">
        <v>2293</v>
      </c>
      <c r="G14" s="273"/>
      <c r="H14" s="7"/>
      <c r="I14" s="7"/>
      <c r="J14" s="52" t="s">
        <v>2475</v>
      </c>
      <c r="K14" s="53" t="s">
        <v>2476</v>
      </c>
      <c r="L14" s="265"/>
      <c r="M14" s="266" t="s">
        <v>1106</v>
      </c>
      <c r="N14" s="265"/>
      <c r="O14" s="266" t="s">
        <v>1107</v>
      </c>
      <c r="P14" s="265"/>
      <c r="Q14" s="266" t="s">
        <v>1108</v>
      </c>
      <c r="R14" s="268" t="s">
        <v>2469</v>
      </c>
      <c r="S14" s="269" t="s">
        <v>1114</v>
      </c>
      <c r="T14" s="265"/>
      <c r="U14" s="265"/>
      <c r="V14" s="265">
        <v>-1</v>
      </c>
      <c r="W14" s="265"/>
      <c r="X14" s="265"/>
      <c r="Y14" s="265"/>
      <c r="Z14" s="265"/>
      <c r="AA14" s="265"/>
      <c r="AB14" s="266" t="s">
        <v>1110</v>
      </c>
      <c r="AC14" s="265"/>
      <c r="AD14" s="270"/>
      <c r="AE14" s="1372" t="s">
        <v>1115</v>
      </c>
      <c r="AF14" s="1373"/>
      <c r="AG14" s="1373"/>
      <c r="AH14" s="1373"/>
      <c r="AI14" s="1373"/>
      <c r="AJ14" s="1374"/>
      <c r="AK14" s="248"/>
    </row>
    <row r="15" spans="1:37" ht="39">
      <c r="A15" s="7"/>
      <c r="B15" s="1366"/>
      <c r="C15" s="271" t="s">
        <v>2299</v>
      </c>
      <c r="D15" s="23" t="s">
        <v>2301</v>
      </c>
      <c r="E15" s="272" t="s">
        <v>2301</v>
      </c>
      <c r="F15" s="275" t="s">
        <v>2302</v>
      </c>
      <c r="G15" s="273"/>
      <c r="H15" s="7"/>
      <c r="I15" s="7"/>
      <c r="J15" s="26" t="s">
        <v>2477</v>
      </c>
      <c r="K15" s="27" t="s">
        <v>1116</v>
      </c>
      <c r="L15" s="276" t="s">
        <v>1117</v>
      </c>
      <c r="M15" s="276" t="s">
        <v>1118</v>
      </c>
      <c r="N15" s="276"/>
      <c r="O15" s="277" t="s">
        <v>1119</v>
      </c>
      <c r="P15" s="278"/>
      <c r="Q15" s="277" t="s">
        <v>1120</v>
      </c>
      <c r="R15" s="278"/>
      <c r="S15" s="279" t="s">
        <v>1121</v>
      </c>
      <c r="T15" s="278"/>
      <c r="U15" s="278"/>
      <c r="V15" s="278"/>
      <c r="W15" s="278">
        <v>1</v>
      </c>
      <c r="X15" s="278"/>
      <c r="Y15" s="278"/>
      <c r="Z15" s="278"/>
      <c r="AA15" s="278"/>
      <c r="AB15" s="280" t="s">
        <v>2478</v>
      </c>
      <c r="AC15" s="278"/>
      <c r="AD15" s="281"/>
      <c r="AE15" s="1362" t="s">
        <v>1122</v>
      </c>
      <c r="AF15" s="1363"/>
      <c r="AG15" s="1363"/>
      <c r="AH15" s="1363"/>
      <c r="AI15" s="1363"/>
      <c r="AJ15" s="1364"/>
      <c r="AK15" s="248"/>
    </row>
    <row r="16" spans="1:37" ht="39">
      <c r="A16" s="7"/>
      <c r="B16" s="1366"/>
      <c r="C16" s="271" t="s">
        <v>2304</v>
      </c>
      <c r="D16" s="23" t="s">
        <v>2305</v>
      </c>
      <c r="E16" s="272" t="s">
        <v>2306</v>
      </c>
      <c r="F16" s="273" t="s">
        <v>2293</v>
      </c>
      <c r="G16" s="273"/>
      <c r="H16" s="7"/>
      <c r="I16" s="7"/>
      <c r="J16" s="26" t="s">
        <v>2479</v>
      </c>
      <c r="K16" s="27" t="s">
        <v>1123</v>
      </c>
      <c r="L16" s="276" t="s">
        <v>1117</v>
      </c>
      <c r="M16" s="276"/>
      <c r="N16" s="276" t="s">
        <v>1118</v>
      </c>
      <c r="O16" s="282" t="s">
        <v>1124</v>
      </c>
      <c r="P16" s="278"/>
      <c r="Q16" s="282" t="s">
        <v>1125</v>
      </c>
      <c r="R16" s="278"/>
      <c r="S16" s="279" t="s">
        <v>1126</v>
      </c>
      <c r="T16" s="278"/>
      <c r="U16" s="278"/>
      <c r="V16" s="278"/>
      <c r="W16" s="278">
        <v>1</v>
      </c>
      <c r="X16" s="278"/>
      <c r="Y16" s="278"/>
      <c r="Z16" s="278"/>
      <c r="AA16" s="278"/>
      <c r="AB16" s="280" t="s">
        <v>2478</v>
      </c>
      <c r="AC16" s="278"/>
      <c r="AD16" s="281"/>
      <c r="AE16" s="1362" t="s">
        <v>1127</v>
      </c>
      <c r="AF16" s="1363"/>
      <c r="AG16" s="1363"/>
      <c r="AH16" s="1363"/>
      <c r="AI16" s="1363"/>
      <c r="AJ16" s="1364"/>
      <c r="AK16" s="248"/>
    </row>
    <row r="17" spans="1:37" ht="39">
      <c r="A17" s="7"/>
      <c r="B17" s="1366"/>
      <c r="C17" s="271" t="s">
        <v>2480</v>
      </c>
      <c r="D17" s="23" t="s">
        <v>2310</v>
      </c>
      <c r="E17" s="272" t="s">
        <v>2481</v>
      </c>
      <c r="F17" s="273" t="s">
        <v>2293</v>
      </c>
      <c r="G17" s="273"/>
      <c r="H17" s="7"/>
      <c r="I17" s="7"/>
      <c r="J17" s="26" t="s">
        <v>2482</v>
      </c>
      <c r="K17" s="27" t="s">
        <v>1128</v>
      </c>
      <c r="L17" s="276"/>
      <c r="M17" s="276" t="s">
        <v>1118</v>
      </c>
      <c r="N17" s="276"/>
      <c r="O17" s="277" t="s">
        <v>1119</v>
      </c>
      <c r="P17" s="276" t="s">
        <v>1129</v>
      </c>
      <c r="Q17" s="277" t="s">
        <v>1120</v>
      </c>
      <c r="R17" s="278"/>
      <c r="S17" s="279" t="s">
        <v>1130</v>
      </c>
      <c r="T17" s="276" t="s">
        <v>1131</v>
      </c>
      <c r="U17" s="278"/>
      <c r="V17" s="278"/>
      <c r="W17" s="278">
        <v>1</v>
      </c>
      <c r="X17" s="278"/>
      <c r="Y17" s="278"/>
      <c r="Z17" s="278"/>
      <c r="AA17" s="278"/>
      <c r="AB17" s="280" t="s">
        <v>2478</v>
      </c>
      <c r="AC17" s="278"/>
      <c r="AD17" s="281"/>
      <c r="AE17" s="1362" t="s">
        <v>1132</v>
      </c>
      <c r="AF17" s="1363"/>
      <c r="AG17" s="1363"/>
      <c r="AH17" s="1363"/>
      <c r="AI17" s="1363"/>
      <c r="AJ17" s="1364"/>
      <c r="AK17" s="248"/>
    </row>
    <row r="18" spans="1:37" ht="58.5">
      <c r="A18" s="7"/>
      <c r="B18" s="1366"/>
      <c r="C18" s="271" t="s">
        <v>1133</v>
      </c>
      <c r="D18" s="23" t="s">
        <v>2483</v>
      </c>
      <c r="E18" s="272" t="s">
        <v>2319</v>
      </c>
      <c r="F18" s="273" t="s">
        <v>2320</v>
      </c>
      <c r="G18" s="273"/>
      <c r="H18" s="7"/>
      <c r="I18" s="7"/>
      <c r="J18" s="26" t="s">
        <v>2484</v>
      </c>
      <c r="K18" s="27" t="s">
        <v>1134</v>
      </c>
      <c r="L18" s="276"/>
      <c r="M18" s="276"/>
      <c r="N18" s="276" t="s">
        <v>1118</v>
      </c>
      <c r="O18" s="282" t="s">
        <v>1124</v>
      </c>
      <c r="P18" s="276" t="s">
        <v>1129</v>
      </c>
      <c r="Q18" s="282" t="s">
        <v>1125</v>
      </c>
      <c r="R18" s="278"/>
      <c r="S18" s="279" t="s">
        <v>1135</v>
      </c>
      <c r="T18" s="283" t="s">
        <v>1136</v>
      </c>
      <c r="U18" s="278"/>
      <c r="V18" s="278"/>
      <c r="W18" s="278">
        <v>1</v>
      </c>
      <c r="X18" s="278"/>
      <c r="Y18" s="278"/>
      <c r="Z18" s="278"/>
      <c r="AA18" s="278"/>
      <c r="AB18" s="280" t="s">
        <v>2478</v>
      </c>
      <c r="AC18" s="278"/>
      <c r="AD18" s="281"/>
      <c r="AE18" s="1362" t="s">
        <v>1137</v>
      </c>
      <c r="AF18" s="1363"/>
      <c r="AG18" s="1363"/>
      <c r="AH18" s="1363"/>
      <c r="AI18" s="1363"/>
      <c r="AJ18" s="1364"/>
      <c r="AK18" s="248"/>
    </row>
    <row r="19" spans="1:37" ht="39">
      <c r="A19" s="7"/>
      <c r="B19" s="1366"/>
      <c r="C19" s="284" t="s">
        <v>1035</v>
      </c>
      <c r="D19" s="272" t="s">
        <v>2485</v>
      </c>
      <c r="E19" s="272" t="s">
        <v>2323</v>
      </c>
      <c r="F19" s="273" t="s">
        <v>2320</v>
      </c>
      <c r="G19" s="273"/>
      <c r="H19" s="7"/>
      <c r="I19" s="7"/>
      <c r="J19" s="26" t="s">
        <v>2486</v>
      </c>
      <c r="K19" s="27" t="s">
        <v>2487</v>
      </c>
      <c r="L19" s="276"/>
      <c r="M19" s="285" t="s">
        <v>2488</v>
      </c>
      <c r="N19" s="285" t="s">
        <v>2467</v>
      </c>
      <c r="O19" s="280" t="s">
        <v>2489</v>
      </c>
      <c r="P19" s="278"/>
      <c r="Q19" s="280" t="s">
        <v>2490</v>
      </c>
      <c r="R19" s="278"/>
      <c r="S19" s="279" t="s">
        <v>1138</v>
      </c>
      <c r="T19" s="278"/>
      <c r="U19" s="278"/>
      <c r="V19" s="278"/>
      <c r="W19" s="278"/>
      <c r="X19" s="278"/>
      <c r="Y19" s="278"/>
      <c r="Z19" s="278"/>
      <c r="AA19" s="278"/>
      <c r="AB19" s="278"/>
      <c r="AC19" s="278"/>
      <c r="AD19" s="281"/>
      <c r="AE19" s="1362" t="s">
        <v>1139</v>
      </c>
      <c r="AF19" s="1363"/>
      <c r="AG19" s="1363"/>
      <c r="AH19" s="1363"/>
      <c r="AI19" s="1363"/>
      <c r="AJ19" s="1364"/>
      <c r="AK19" s="248"/>
    </row>
    <row r="20" spans="1:37" ht="39">
      <c r="A20" s="7"/>
      <c r="B20" s="1366"/>
      <c r="C20" s="271" t="s">
        <v>2491</v>
      </c>
      <c r="D20" s="23" t="s">
        <v>2492</v>
      </c>
      <c r="E20" s="272" t="s">
        <v>2492</v>
      </c>
      <c r="F20" s="273" t="s">
        <v>2320</v>
      </c>
      <c r="G20" s="273"/>
      <c r="H20" s="7"/>
      <c r="I20" s="7"/>
      <c r="J20" s="26" t="s">
        <v>2493</v>
      </c>
      <c r="K20" s="27" t="s">
        <v>2494</v>
      </c>
      <c r="L20" s="276"/>
      <c r="M20" s="278"/>
      <c r="N20" s="278"/>
      <c r="O20" s="282" t="s">
        <v>1140</v>
      </c>
      <c r="P20" s="278"/>
      <c r="Q20" s="282" t="s">
        <v>1141</v>
      </c>
      <c r="R20" s="278"/>
      <c r="S20" s="279" t="s">
        <v>1142</v>
      </c>
      <c r="T20" s="278"/>
      <c r="U20" s="280" t="s">
        <v>2495</v>
      </c>
      <c r="V20" s="282" t="s">
        <v>1143</v>
      </c>
      <c r="W20" s="278">
        <v>-1</v>
      </c>
      <c r="X20" s="278"/>
      <c r="Y20" s="278"/>
      <c r="Z20" s="278"/>
      <c r="AA20" s="278"/>
      <c r="AB20" s="280" t="s">
        <v>1144</v>
      </c>
      <c r="AC20" s="278"/>
      <c r="AD20" s="281"/>
      <c r="AE20" s="1362" t="s">
        <v>1145</v>
      </c>
      <c r="AF20" s="1363"/>
      <c r="AG20" s="1363"/>
      <c r="AH20" s="1363"/>
      <c r="AI20" s="1363"/>
      <c r="AJ20" s="1364"/>
      <c r="AK20" s="248"/>
    </row>
    <row r="21" spans="1:37" ht="39">
      <c r="A21" s="7"/>
      <c r="B21" s="1366"/>
      <c r="C21" s="271" t="s">
        <v>2496</v>
      </c>
      <c r="D21" s="23" t="s">
        <v>2497</v>
      </c>
      <c r="E21" s="272" t="s">
        <v>2497</v>
      </c>
      <c r="F21" s="273" t="s">
        <v>2498</v>
      </c>
      <c r="G21" s="273"/>
      <c r="H21" s="7"/>
      <c r="I21" s="7"/>
      <c r="J21" s="286" t="s">
        <v>2499</v>
      </c>
      <c r="K21" s="287" t="s">
        <v>1146</v>
      </c>
      <c r="L21" s="288"/>
      <c r="M21" s="289"/>
      <c r="N21" s="290" t="s">
        <v>2488</v>
      </c>
      <c r="O21" s="289"/>
      <c r="P21" s="289"/>
      <c r="Q21" s="291" t="s">
        <v>2500</v>
      </c>
      <c r="R21" s="289"/>
      <c r="S21" s="292" t="s">
        <v>1147</v>
      </c>
      <c r="T21" s="289"/>
      <c r="U21" s="289"/>
      <c r="V21" s="289"/>
      <c r="W21" s="289"/>
      <c r="X21" s="289"/>
      <c r="Y21" s="293" t="s">
        <v>1148</v>
      </c>
      <c r="Z21" s="289" t="s">
        <v>2467</v>
      </c>
      <c r="AA21" s="289"/>
      <c r="AB21" s="288" t="s">
        <v>1149</v>
      </c>
      <c r="AC21" s="289"/>
      <c r="AD21" s="294"/>
      <c r="AE21" s="1362" t="s">
        <v>1150</v>
      </c>
      <c r="AF21" s="1363"/>
      <c r="AG21" s="1363"/>
      <c r="AH21" s="1363"/>
      <c r="AI21" s="1363"/>
      <c r="AJ21" s="1364"/>
      <c r="AK21" s="248"/>
    </row>
    <row r="22" spans="1:37" ht="19.5">
      <c r="A22" s="7"/>
      <c r="B22" s="1366"/>
      <c r="C22" s="271" t="s">
        <v>2335</v>
      </c>
      <c r="D22" s="23" t="s">
        <v>2501</v>
      </c>
      <c r="E22" s="272" t="s">
        <v>2337</v>
      </c>
      <c r="F22" s="273" t="s">
        <v>2293</v>
      </c>
      <c r="G22" s="273"/>
      <c r="H22" s="7"/>
      <c r="I22" s="7"/>
      <c r="J22" s="286" t="s">
        <v>2502</v>
      </c>
      <c r="K22" s="287" t="s">
        <v>1151</v>
      </c>
      <c r="L22" s="288" t="s">
        <v>1152</v>
      </c>
      <c r="M22" s="289"/>
      <c r="N22" s="289"/>
      <c r="O22" s="289"/>
      <c r="P22" s="289"/>
      <c r="Q22" s="289" t="s">
        <v>2488</v>
      </c>
      <c r="R22" s="289"/>
      <c r="S22" s="292" t="s">
        <v>1153</v>
      </c>
      <c r="T22" s="289"/>
      <c r="U22" s="289"/>
      <c r="V22" s="289"/>
      <c r="W22" s="289"/>
      <c r="X22" s="289"/>
      <c r="Y22" s="289" t="s">
        <v>2467</v>
      </c>
      <c r="Z22" s="293" t="s">
        <v>1152</v>
      </c>
      <c r="AA22" s="289"/>
      <c r="AB22" s="291" t="s">
        <v>1154</v>
      </c>
      <c r="AC22" s="289"/>
      <c r="AD22" s="294"/>
      <c r="AE22" s="1362" t="s">
        <v>1155</v>
      </c>
      <c r="AF22" s="1363"/>
      <c r="AG22" s="1363"/>
      <c r="AH22" s="1363"/>
      <c r="AI22" s="1363"/>
      <c r="AJ22" s="1364"/>
      <c r="AK22" s="248"/>
    </row>
    <row r="23" spans="1:37" ht="53.25">
      <c r="A23" s="7"/>
      <c r="B23" s="1366"/>
      <c r="C23" s="271" t="s">
        <v>2503</v>
      </c>
      <c r="D23" s="23" t="s">
        <v>2504</v>
      </c>
      <c r="E23" s="272" t="s">
        <v>2343</v>
      </c>
      <c r="F23" s="273" t="s">
        <v>2293</v>
      </c>
      <c r="G23" s="273"/>
      <c r="H23" s="7"/>
      <c r="I23" s="7"/>
      <c r="J23" s="286">
        <v>12</v>
      </c>
      <c r="K23" s="287" t="s">
        <v>1156</v>
      </c>
      <c r="L23" s="288"/>
      <c r="M23" s="289"/>
      <c r="N23" s="289"/>
      <c r="O23" s="289"/>
      <c r="P23" s="293" t="s">
        <v>1157</v>
      </c>
      <c r="Q23" s="289" t="s">
        <v>2488</v>
      </c>
      <c r="R23" s="289"/>
      <c r="S23" s="292" t="s">
        <v>1158</v>
      </c>
      <c r="T23" s="291" t="s">
        <v>1159</v>
      </c>
      <c r="U23" s="289"/>
      <c r="V23" s="289"/>
      <c r="W23" s="289"/>
      <c r="X23" s="289"/>
      <c r="Y23" s="289" t="s">
        <v>2467</v>
      </c>
      <c r="Z23" s="293" t="s">
        <v>1152</v>
      </c>
      <c r="AA23" s="289"/>
      <c r="AB23" s="291" t="s">
        <v>1154</v>
      </c>
      <c r="AC23" s="289"/>
      <c r="AD23" s="294"/>
      <c r="AE23" s="1362" t="s">
        <v>1160</v>
      </c>
      <c r="AF23" s="1363"/>
      <c r="AG23" s="1363"/>
      <c r="AH23" s="1363"/>
      <c r="AI23" s="1363"/>
      <c r="AJ23" s="1364"/>
      <c r="AK23" s="248"/>
    </row>
    <row r="24" spans="1:37" ht="53.25">
      <c r="A24" s="7"/>
      <c r="B24" s="1366"/>
      <c r="C24" s="271" t="s">
        <v>2505</v>
      </c>
      <c r="D24" s="23" t="s">
        <v>2506</v>
      </c>
      <c r="E24" s="272" t="s">
        <v>2506</v>
      </c>
      <c r="F24" s="273" t="s">
        <v>2293</v>
      </c>
      <c r="G24" s="273"/>
      <c r="H24" s="7"/>
      <c r="I24" s="7"/>
      <c r="J24" s="286">
        <v>13</v>
      </c>
      <c r="K24" s="287" t="s">
        <v>1161</v>
      </c>
      <c r="L24" s="288" t="s">
        <v>1162</v>
      </c>
      <c r="M24" s="289"/>
      <c r="N24" s="289"/>
      <c r="O24" s="293" t="s">
        <v>1124</v>
      </c>
      <c r="P24" s="289"/>
      <c r="Q24" s="293" t="s">
        <v>1125</v>
      </c>
      <c r="R24" s="289"/>
      <c r="S24" s="295" t="s">
        <v>1163</v>
      </c>
      <c r="T24" s="289"/>
      <c r="U24" s="289"/>
      <c r="V24" s="289"/>
      <c r="W24" s="289"/>
      <c r="X24" s="289" t="s">
        <v>2467</v>
      </c>
      <c r="Y24" s="289"/>
      <c r="Z24" s="296" t="s">
        <v>1164</v>
      </c>
      <c r="AA24" s="289"/>
      <c r="AB24" s="297" t="s">
        <v>1165</v>
      </c>
      <c r="AC24" s="289"/>
      <c r="AD24" s="294"/>
      <c r="AE24" s="1362" t="s">
        <v>1166</v>
      </c>
      <c r="AF24" s="1363"/>
      <c r="AG24" s="1363"/>
      <c r="AH24" s="1363"/>
      <c r="AI24" s="1363"/>
      <c r="AJ24" s="1364"/>
      <c r="AK24" s="248"/>
    </row>
    <row r="25" spans="1:37" ht="53.25">
      <c r="A25" s="7"/>
      <c r="B25" s="1366"/>
      <c r="C25" s="271" t="s">
        <v>2507</v>
      </c>
      <c r="D25" s="23" t="s">
        <v>2508</v>
      </c>
      <c r="E25" s="272" t="s">
        <v>2509</v>
      </c>
      <c r="F25" s="273" t="s">
        <v>2293</v>
      </c>
      <c r="G25" s="273"/>
      <c r="H25" s="7"/>
      <c r="I25" s="7"/>
      <c r="J25" s="286">
        <v>14</v>
      </c>
      <c r="K25" s="287" t="s">
        <v>1167</v>
      </c>
      <c r="L25" s="288"/>
      <c r="M25" s="289"/>
      <c r="N25" s="289"/>
      <c r="O25" s="293" t="s">
        <v>1124</v>
      </c>
      <c r="P25" s="288" t="s">
        <v>1168</v>
      </c>
      <c r="Q25" s="293" t="s">
        <v>1125</v>
      </c>
      <c r="R25" s="289"/>
      <c r="S25" s="295" t="s">
        <v>1169</v>
      </c>
      <c r="T25" s="288" t="s">
        <v>1170</v>
      </c>
      <c r="U25" s="289"/>
      <c r="V25" s="289"/>
      <c r="W25" s="289"/>
      <c r="X25" s="289" t="s">
        <v>2467</v>
      </c>
      <c r="Y25" s="289"/>
      <c r="Z25" s="296" t="s">
        <v>1164</v>
      </c>
      <c r="AA25" s="289"/>
      <c r="AB25" s="297" t="s">
        <v>1165</v>
      </c>
      <c r="AC25" s="289"/>
      <c r="AD25" s="294"/>
      <c r="AE25" s="1362" t="s">
        <v>1171</v>
      </c>
      <c r="AF25" s="1363"/>
      <c r="AG25" s="1363"/>
      <c r="AH25" s="1363"/>
      <c r="AI25" s="1363"/>
      <c r="AJ25" s="1364"/>
      <c r="AK25" s="248"/>
    </row>
    <row r="26" spans="1:37" ht="39">
      <c r="A26" s="7"/>
      <c r="B26" s="1366"/>
      <c r="C26" s="271" t="s">
        <v>2510</v>
      </c>
      <c r="D26" s="23" t="s">
        <v>2511</v>
      </c>
      <c r="E26" s="272" t="s">
        <v>2512</v>
      </c>
      <c r="F26" s="273" t="s">
        <v>2498</v>
      </c>
      <c r="G26" s="273"/>
      <c r="H26" s="7"/>
      <c r="I26" s="7"/>
      <c r="J26" s="286">
        <v>15</v>
      </c>
      <c r="K26" s="287" t="s">
        <v>1172</v>
      </c>
      <c r="L26" s="288"/>
      <c r="M26" s="289"/>
      <c r="N26" s="289"/>
      <c r="O26" s="293" t="s">
        <v>1140</v>
      </c>
      <c r="P26" s="289"/>
      <c r="Q26" s="293" t="s">
        <v>1173</v>
      </c>
      <c r="R26" s="289"/>
      <c r="S26" s="295" t="s">
        <v>1174</v>
      </c>
      <c r="T26" s="289"/>
      <c r="U26" s="291" t="s">
        <v>2495</v>
      </c>
      <c r="V26" s="293" t="s">
        <v>1143</v>
      </c>
      <c r="W26" s="289"/>
      <c r="X26" s="289" t="s">
        <v>2488</v>
      </c>
      <c r="Y26" s="289"/>
      <c r="Z26" s="289"/>
      <c r="AA26" s="289"/>
      <c r="AB26" s="291" t="s">
        <v>1144</v>
      </c>
      <c r="AC26" s="289"/>
      <c r="AD26" s="294"/>
      <c r="AE26" s="1362" t="s">
        <v>1175</v>
      </c>
      <c r="AF26" s="1363"/>
      <c r="AG26" s="1363"/>
      <c r="AH26" s="1363"/>
      <c r="AI26" s="1363"/>
      <c r="AJ26" s="1364"/>
      <c r="AK26" s="298"/>
    </row>
    <row r="27" spans="1:37" ht="19.5">
      <c r="A27" s="7"/>
      <c r="B27" s="1366"/>
      <c r="C27" s="271" t="s">
        <v>2513</v>
      </c>
      <c r="D27" s="23" t="s">
        <v>2514</v>
      </c>
      <c r="E27" s="272" t="s">
        <v>2514</v>
      </c>
      <c r="F27" s="273" t="s">
        <v>2515</v>
      </c>
      <c r="G27" s="273"/>
      <c r="H27" s="7"/>
      <c r="I27" s="7"/>
      <c r="J27" s="286">
        <v>16</v>
      </c>
      <c r="K27" s="287" t="s">
        <v>1176</v>
      </c>
      <c r="L27" s="288"/>
      <c r="M27" s="289"/>
      <c r="N27" s="289"/>
      <c r="O27" s="289"/>
      <c r="P27" s="289"/>
      <c r="Q27" s="289" t="s">
        <v>2467</v>
      </c>
      <c r="R27" s="289"/>
      <c r="S27" s="295" t="s">
        <v>1177</v>
      </c>
      <c r="T27" s="289"/>
      <c r="U27" s="289"/>
      <c r="V27" s="289"/>
      <c r="W27" s="289"/>
      <c r="X27" s="289"/>
      <c r="Y27" s="289" t="s">
        <v>2488</v>
      </c>
      <c r="Z27" s="289"/>
      <c r="AA27" s="289"/>
      <c r="AB27" s="293" t="s">
        <v>1178</v>
      </c>
      <c r="AC27" s="289"/>
      <c r="AD27" s="294"/>
      <c r="AE27" s="1362" t="s">
        <v>1179</v>
      </c>
      <c r="AF27" s="1363"/>
      <c r="AG27" s="1363"/>
      <c r="AH27" s="1363"/>
      <c r="AI27" s="1363"/>
      <c r="AJ27" s="1364"/>
      <c r="AK27" s="298"/>
    </row>
    <row r="28" spans="1:37" ht="19.5">
      <c r="A28" s="7"/>
      <c r="B28" s="1366"/>
      <c r="C28" s="271" t="s">
        <v>2516</v>
      </c>
      <c r="D28" s="23" t="s">
        <v>2517</v>
      </c>
      <c r="E28" s="272" t="s">
        <v>2517</v>
      </c>
      <c r="F28" s="273" t="s">
        <v>2515</v>
      </c>
      <c r="G28" s="273"/>
      <c r="H28" s="7"/>
      <c r="I28" s="7"/>
      <c r="J28" s="286">
        <v>17</v>
      </c>
      <c r="K28" s="287" t="s">
        <v>1180</v>
      </c>
      <c r="L28" s="288"/>
      <c r="M28" s="289"/>
      <c r="N28" s="290" t="s">
        <v>2467</v>
      </c>
      <c r="O28" s="289"/>
      <c r="P28" s="289"/>
      <c r="Q28" s="289"/>
      <c r="R28" s="289"/>
      <c r="S28" s="295" t="s">
        <v>2518</v>
      </c>
      <c r="T28" s="289"/>
      <c r="U28" s="289"/>
      <c r="V28" s="289"/>
      <c r="W28" s="289"/>
      <c r="X28" s="289"/>
      <c r="Y28" s="289"/>
      <c r="Z28" s="289" t="s">
        <v>2488</v>
      </c>
      <c r="AA28" s="289"/>
      <c r="AB28" s="293" t="s">
        <v>1181</v>
      </c>
      <c r="AC28" s="289"/>
      <c r="AD28" s="294"/>
      <c r="AE28" s="1362" t="s">
        <v>1182</v>
      </c>
      <c r="AF28" s="1363"/>
      <c r="AG28" s="1363"/>
      <c r="AH28" s="1363"/>
      <c r="AI28" s="1363"/>
      <c r="AJ28" s="1364"/>
      <c r="AK28" s="298"/>
    </row>
    <row r="29" spans="1:37" ht="58.5">
      <c r="A29" s="7"/>
      <c r="B29" s="1366"/>
      <c r="C29" s="271" t="s">
        <v>1183</v>
      </c>
      <c r="D29" s="23" t="s">
        <v>2347</v>
      </c>
      <c r="E29" s="272" t="s">
        <v>2348</v>
      </c>
      <c r="F29" s="273" t="s">
        <v>1038</v>
      </c>
      <c r="G29" s="273"/>
      <c r="H29" s="7"/>
      <c r="I29" s="7"/>
      <c r="J29" s="38">
        <v>18</v>
      </c>
      <c r="K29" s="39" t="s">
        <v>1184</v>
      </c>
      <c r="L29" s="299" t="s">
        <v>1185</v>
      </c>
      <c r="M29" s="300"/>
      <c r="N29" s="300"/>
      <c r="O29" s="299" t="s">
        <v>1186</v>
      </c>
      <c r="P29" s="299" t="s">
        <v>1187</v>
      </c>
      <c r="Q29" s="301" t="s">
        <v>1125</v>
      </c>
      <c r="R29" s="300"/>
      <c r="S29" s="302" t="s">
        <v>1188</v>
      </c>
      <c r="T29" s="300"/>
      <c r="U29" s="300"/>
      <c r="V29" s="300"/>
      <c r="W29" s="300"/>
      <c r="X29" s="300"/>
      <c r="Y29" s="300"/>
      <c r="Z29" s="300"/>
      <c r="AA29" s="300" t="s">
        <v>2467</v>
      </c>
      <c r="AB29" s="303" t="s">
        <v>2478</v>
      </c>
      <c r="AC29" s="300"/>
      <c r="AD29" s="304"/>
      <c r="AE29" s="1362" t="s">
        <v>1189</v>
      </c>
      <c r="AF29" s="1363"/>
      <c r="AG29" s="1363"/>
      <c r="AH29" s="1363"/>
      <c r="AI29" s="1363"/>
      <c r="AJ29" s="1364"/>
      <c r="AK29" s="248"/>
    </row>
    <row r="30" spans="1:37" ht="39.75" thickBot="1">
      <c r="A30" s="7"/>
      <c r="B30" s="1367"/>
      <c r="C30" s="305" t="s">
        <v>2519</v>
      </c>
      <c r="D30" s="306" t="s">
        <v>2520</v>
      </c>
      <c r="E30" s="307" t="s">
        <v>2520</v>
      </c>
      <c r="F30" s="79" t="s">
        <v>2515</v>
      </c>
      <c r="G30" s="308"/>
      <c r="H30" s="7"/>
      <c r="I30" s="11"/>
      <c r="J30" s="38">
        <v>19</v>
      </c>
      <c r="K30" s="39" t="s">
        <v>2494</v>
      </c>
      <c r="L30" s="300"/>
      <c r="M30" s="300"/>
      <c r="N30" s="300"/>
      <c r="O30" s="301" t="s">
        <v>1140</v>
      </c>
      <c r="P30" s="300"/>
      <c r="Q30" s="301" t="s">
        <v>1173</v>
      </c>
      <c r="R30" s="300"/>
      <c r="S30" s="309" t="s">
        <v>1190</v>
      </c>
      <c r="T30" s="300"/>
      <c r="U30" s="303" t="s">
        <v>2495</v>
      </c>
      <c r="V30" s="301" t="s">
        <v>1143</v>
      </c>
      <c r="W30" s="300"/>
      <c r="X30" s="300"/>
      <c r="Y30" s="300"/>
      <c r="Z30" s="300"/>
      <c r="AA30" s="300" t="s">
        <v>2488</v>
      </c>
      <c r="AB30" s="303" t="s">
        <v>1144</v>
      </c>
      <c r="AC30" s="300"/>
      <c r="AD30" s="304"/>
      <c r="AE30" s="1362" t="s">
        <v>1191</v>
      </c>
      <c r="AF30" s="1363"/>
      <c r="AG30" s="1363"/>
      <c r="AH30" s="1363"/>
      <c r="AI30" s="1363"/>
      <c r="AJ30" s="1364"/>
      <c r="AK30" s="248"/>
    </row>
    <row r="31" spans="1:37" ht="39">
      <c r="A31" s="7"/>
      <c r="B31" s="1365" t="s">
        <v>2349</v>
      </c>
      <c r="C31" s="310" t="s">
        <v>2521</v>
      </c>
      <c r="D31" s="311" t="s">
        <v>2522</v>
      </c>
      <c r="E31" s="312" t="s">
        <v>2523</v>
      </c>
      <c r="F31" s="313" t="s">
        <v>1192</v>
      </c>
      <c r="G31" s="314">
        <v>0</v>
      </c>
      <c r="H31" s="7"/>
      <c r="I31" s="7"/>
      <c r="J31" s="315">
        <v>20</v>
      </c>
      <c r="K31" s="316" t="s">
        <v>2524</v>
      </c>
      <c r="L31" s="274"/>
      <c r="M31" s="274"/>
      <c r="N31" s="274"/>
      <c r="O31" s="274"/>
      <c r="P31" s="274"/>
      <c r="Q31" s="274" t="s">
        <v>2488</v>
      </c>
      <c r="R31" s="274"/>
      <c r="S31" s="317" t="s">
        <v>1193</v>
      </c>
      <c r="T31" s="274"/>
      <c r="U31" s="274"/>
      <c r="V31" s="274"/>
      <c r="W31" s="274"/>
      <c r="X31" s="274"/>
      <c r="Y31" s="274"/>
      <c r="Z31" s="274"/>
      <c r="AA31" s="274"/>
      <c r="AB31" s="318" t="s">
        <v>1194</v>
      </c>
      <c r="AC31" s="318" t="s">
        <v>2525</v>
      </c>
      <c r="AD31" s="319" t="s">
        <v>2526</v>
      </c>
      <c r="AE31" s="1362" t="s">
        <v>1195</v>
      </c>
      <c r="AF31" s="1363"/>
      <c r="AG31" s="1363"/>
      <c r="AH31" s="1363"/>
      <c r="AI31" s="1363"/>
      <c r="AJ31" s="1364"/>
      <c r="AK31" s="298"/>
    </row>
    <row r="32" spans="1:37" ht="52.5" thickBot="1">
      <c r="A32" s="7"/>
      <c r="B32" s="1366"/>
      <c r="C32" s="320" t="s">
        <v>1196</v>
      </c>
      <c r="D32" s="321" t="s">
        <v>2350</v>
      </c>
      <c r="E32" s="125" t="s">
        <v>2351</v>
      </c>
      <c r="F32" s="322" t="s">
        <v>1040</v>
      </c>
      <c r="G32" s="322">
        <v>0.625</v>
      </c>
      <c r="H32" s="7"/>
      <c r="I32" s="7"/>
      <c r="J32" s="323">
        <v>21</v>
      </c>
      <c r="K32" s="324" t="s">
        <v>2527</v>
      </c>
      <c r="L32" s="325"/>
      <c r="M32" s="325"/>
      <c r="N32" s="325"/>
      <c r="O32" s="325"/>
      <c r="P32" s="325"/>
      <c r="Q32" s="325" t="s">
        <v>2467</v>
      </c>
      <c r="R32" s="325"/>
      <c r="S32" s="326" t="s">
        <v>2528</v>
      </c>
      <c r="T32" s="325"/>
      <c r="U32" s="325"/>
      <c r="V32" s="325"/>
      <c r="W32" s="325"/>
      <c r="X32" s="325"/>
      <c r="Y32" s="325"/>
      <c r="Z32" s="325"/>
      <c r="AA32" s="325"/>
      <c r="AB32" s="327" t="s">
        <v>1197</v>
      </c>
      <c r="AC32" s="327" t="s">
        <v>1198</v>
      </c>
      <c r="AD32" s="328" t="s">
        <v>1199</v>
      </c>
      <c r="AE32" s="1368" t="s">
        <v>1200</v>
      </c>
      <c r="AF32" s="1369"/>
      <c r="AG32" s="1369"/>
      <c r="AH32" s="1369"/>
      <c r="AI32" s="1369"/>
      <c r="AJ32" s="1370"/>
      <c r="AK32" s="248"/>
    </row>
    <row r="33" spans="1:37" ht="20.25" thickBot="1">
      <c r="A33" s="7"/>
      <c r="B33" s="1366"/>
      <c r="C33" s="329" t="s">
        <v>1201</v>
      </c>
      <c r="D33" s="330" t="s">
        <v>2529</v>
      </c>
      <c r="E33" s="87" t="s">
        <v>2352</v>
      </c>
      <c r="F33" s="331" t="s">
        <v>1202</v>
      </c>
      <c r="G33" s="331">
        <v>0.1</v>
      </c>
      <c r="H33" s="7"/>
      <c r="I33" s="7"/>
      <c r="J33" s="8"/>
      <c r="K33" s="332" t="s">
        <v>2328</v>
      </c>
      <c r="L33" s="333"/>
      <c r="M33" s="333"/>
      <c r="N33" s="333"/>
      <c r="O33" s="333"/>
      <c r="P33" s="333"/>
      <c r="Q33" s="333"/>
      <c r="R33" s="333"/>
      <c r="S33" s="333"/>
      <c r="T33" s="333"/>
      <c r="U33" s="333"/>
      <c r="V33" s="333"/>
      <c r="W33" s="333"/>
      <c r="X33" s="333"/>
      <c r="Y33" s="333"/>
      <c r="Z33" s="333"/>
      <c r="AA33" s="333"/>
      <c r="AB33" s="333"/>
      <c r="AC33" s="333"/>
      <c r="AD33" s="334"/>
      <c r="AE33" s="8"/>
      <c r="AF33" s="8"/>
      <c r="AG33" s="8"/>
      <c r="AH33" s="8"/>
      <c r="AI33" s="8"/>
      <c r="AJ33" s="7"/>
      <c r="AK33" s="248"/>
    </row>
    <row r="34" spans="1:37" ht="19.5">
      <c r="A34" s="7"/>
      <c r="B34" s="1366"/>
      <c r="C34" s="335" t="s">
        <v>1203</v>
      </c>
      <c r="D34" s="336" t="s">
        <v>2530</v>
      </c>
      <c r="E34" s="337" t="s">
        <v>2530</v>
      </c>
      <c r="F34" s="338" t="s">
        <v>1204</v>
      </c>
      <c r="G34" s="338">
        <v>0.625</v>
      </c>
      <c r="H34" s="7"/>
      <c r="I34" s="7"/>
      <c r="J34" s="8"/>
      <c r="K34" s="339" t="s">
        <v>2332</v>
      </c>
      <c r="L34" s="340" t="s">
        <v>2488</v>
      </c>
      <c r="M34" s="340" t="s">
        <v>2467</v>
      </c>
      <c r="N34" s="340" t="s">
        <v>2467</v>
      </c>
      <c r="O34" s="340"/>
      <c r="P34" s="341" t="s">
        <v>2333</v>
      </c>
      <c r="Q34" s="340"/>
      <c r="R34" s="340">
        <v>1</v>
      </c>
      <c r="S34" s="340"/>
      <c r="T34" s="341" t="s">
        <v>2531</v>
      </c>
      <c r="U34" s="340">
        <v>1</v>
      </c>
      <c r="V34" s="340">
        <v>1</v>
      </c>
      <c r="W34" s="340">
        <v>1</v>
      </c>
      <c r="X34" s="340">
        <v>1</v>
      </c>
      <c r="Y34" s="340"/>
      <c r="Z34" s="340">
        <v>1</v>
      </c>
      <c r="AA34" s="340">
        <v>1</v>
      </c>
      <c r="AB34" s="340"/>
      <c r="AC34" s="340"/>
      <c r="AD34" s="342"/>
      <c r="AE34" s="8"/>
      <c r="AF34" s="8"/>
      <c r="AG34" s="8"/>
      <c r="AH34" s="8"/>
      <c r="AI34" s="8"/>
      <c r="AJ34" s="7"/>
      <c r="AK34" s="248"/>
    </row>
    <row r="35" spans="1:37" ht="19.5">
      <c r="A35" s="7"/>
      <c r="B35" s="1366"/>
      <c r="C35" s="335" t="s">
        <v>1205</v>
      </c>
      <c r="D35" s="336" t="s">
        <v>2532</v>
      </c>
      <c r="E35" s="337" t="s">
        <v>2533</v>
      </c>
      <c r="F35" s="338" t="s">
        <v>1206</v>
      </c>
      <c r="G35" s="338">
        <v>0.2</v>
      </c>
      <c r="H35" s="7"/>
      <c r="I35" s="7"/>
      <c r="J35" s="8"/>
      <c r="K35" s="343" t="s">
        <v>2338</v>
      </c>
      <c r="L35" s="344"/>
      <c r="M35" s="345" t="s">
        <v>2489</v>
      </c>
      <c r="N35" s="344"/>
      <c r="O35" s="344">
        <v>1</v>
      </c>
      <c r="P35" s="344">
        <v>1</v>
      </c>
      <c r="Q35" s="344"/>
      <c r="R35" s="345" t="s">
        <v>2534</v>
      </c>
      <c r="S35" s="344"/>
      <c r="T35" s="344">
        <v>1</v>
      </c>
      <c r="U35" s="345" t="s">
        <v>2535</v>
      </c>
      <c r="V35" s="345" t="s">
        <v>2536</v>
      </c>
      <c r="W35" s="345" t="s">
        <v>2537</v>
      </c>
      <c r="X35" s="345" t="s">
        <v>2537</v>
      </c>
      <c r="Y35" s="344"/>
      <c r="Z35" s="344"/>
      <c r="AA35" s="345" t="s">
        <v>2537</v>
      </c>
      <c r="AB35" s="344"/>
      <c r="AC35" s="344"/>
      <c r="AD35" s="346"/>
      <c r="AE35" s="8"/>
      <c r="AF35" s="8"/>
      <c r="AG35" s="8"/>
      <c r="AH35" s="8"/>
      <c r="AI35" s="8"/>
      <c r="AJ35" s="7"/>
      <c r="AK35" s="248"/>
    </row>
    <row r="36" spans="1:37" ht="19.5">
      <c r="A36" s="7"/>
      <c r="B36" s="1366"/>
      <c r="C36" s="335" t="s">
        <v>1207</v>
      </c>
      <c r="D36" s="336" t="s">
        <v>2538</v>
      </c>
      <c r="E36" s="337" t="s">
        <v>2539</v>
      </c>
      <c r="F36" s="338" t="s">
        <v>1208</v>
      </c>
      <c r="G36" s="338">
        <v>0.4</v>
      </c>
      <c r="H36" s="7"/>
      <c r="I36" s="7"/>
      <c r="J36" s="8"/>
      <c r="K36" s="347" t="s">
        <v>2540</v>
      </c>
      <c r="L36" s="344"/>
      <c r="M36" s="345" t="s">
        <v>2490</v>
      </c>
      <c r="N36" s="344"/>
      <c r="O36" s="344"/>
      <c r="P36" s="344"/>
      <c r="Q36" s="344">
        <v>1</v>
      </c>
      <c r="R36" s="345" t="s">
        <v>2541</v>
      </c>
      <c r="S36" s="344"/>
      <c r="T36" s="344"/>
      <c r="U36" s="345" t="s">
        <v>2542</v>
      </c>
      <c r="V36" s="345" t="s">
        <v>2543</v>
      </c>
      <c r="W36" s="345" t="s">
        <v>2544</v>
      </c>
      <c r="X36" s="345" t="s">
        <v>2544</v>
      </c>
      <c r="Y36" s="344">
        <v>1</v>
      </c>
      <c r="Z36" s="344"/>
      <c r="AA36" s="345" t="s">
        <v>2544</v>
      </c>
      <c r="AB36" s="344"/>
      <c r="AC36" s="344"/>
      <c r="AD36" s="348" t="s">
        <v>2545</v>
      </c>
      <c r="AE36" s="8"/>
      <c r="AF36" s="8"/>
      <c r="AG36" s="8"/>
      <c r="AH36" s="8"/>
      <c r="AI36" s="8"/>
      <c r="AJ36" s="7"/>
      <c r="AK36" s="248"/>
    </row>
    <row r="37" spans="1:37" ht="19.5">
      <c r="A37" s="7"/>
      <c r="B37" s="1366"/>
      <c r="C37" s="349" t="s">
        <v>1209</v>
      </c>
      <c r="D37" s="350" t="s">
        <v>2354</v>
      </c>
      <c r="E37" s="152" t="s">
        <v>2355</v>
      </c>
      <c r="F37" s="153" t="s">
        <v>1210</v>
      </c>
      <c r="G37" s="153">
        <v>0.24</v>
      </c>
      <c r="H37" s="7"/>
      <c r="I37" s="7"/>
      <c r="J37" s="8"/>
      <c r="K37" s="343" t="s">
        <v>2344</v>
      </c>
      <c r="L37" s="344"/>
      <c r="M37" s="344"/>
      <c r="N37" s="351" t="s">
        <v>2518</v>
      </c>
      <c r="O37" s="351" t="s">
        <v>2346</v>
      </c>
      <c r="P37" s="351" t="s">
        <v>2345</v>
      </c>
      <c r="Q37" s="351" t="s">
        <v>2528</v>
      </c>
      <c r="R37" s="344"/>
      <c r="S37" s="344">
        <v>-1</v>
      </c>
      <c r="T37" s="344"/>
      <c r="U37" s="344"/>
      <c r="V37" s="344"/>
      <c r="W37" s="344"/>
      <c r="X37" s="344"/>
      <c r="Y37" s="345" t="s">
        <v>2546</v>
      </c>
      <c r="Z37" s="344"/>
      <c r="AA37" s="344"/>
      <c r="AB37" s="344"/>
      <c r="AC37" s="344"/>
      <c r="AD37" s="346"/>
      <c r="AE37" s="8"/>
      <c r="AF37" s="8"/>
      <c r="AG37" s="8"/>
      <c r="AH37" s="8"/>
      <c r="AI37" s="8"/>
      <c r="AJ37" s="7"/>
      <c r="AK37" s="248"/>
    </row>
    <row r="38" spans="1:37" ht="39.75" thickBot="1">
      <c r="A38" s="7"/>
      <c r="B38" s="1366"/>
      <c r="C38" s="352" t="s">
        <v>1211</v>
      </c>
      <c r="D38" s="353" t="s">
        <v>2547</v>
      </c>
      <c r="E38" s="354" t="s">
        <v>2547</v>
      </c>
      <c r="F38" s="355" t="s">
        <v>1212</v>
      </c>
      <c r="G38" s="356">
        <f>-106.8/31</f>
        <v>-3.4451612903225803</v>
      </c>
      <c r="H38" s="7"/>
      <c r="I38" s="7"/>
      <c r="J38" s="8"/>
      <c r="K38" s="357" t="s">
        <v>2548</v>
      </c>
      <c r="L38" s="358"/>
      <c r="M38" s="358"/>
      <c r="N38" s="358"/>
      <c r="O38" s="358"/>
      <c r="P38" s="358"/>
      <c r="Q38" s="358"/>
      <c r="R38" s="358"/>
      <c r="S38" s="358"/>
      <c r="T38" s="358"/>
      <c r="U38" s="359" t="s">
        <v>2549</v>
      </c>
      <c r="V38" s="359" t="s">
        <v>2550</v>
      </c>
      <c r="W38" s="359" t="s">
        <v>2478</v>
      </c>
      <c r="X38" s="359" t="s">
        <v>2478</v>
      </c>
      <c r="Y38" s="359" t="s">
        <v>2551</v>
      </c>
      <c r="Z38" s="359" t="s">
        <v>2552</v>
      </c>
      <c r="AA38" s="359" t="s">
        <v>2478</v>
      </c>
      <c r="AB38" s="358">
        <v>-1</v>
      </c>
      <c r="AC38" s="358">
        <v>1</v>
      </c>
      <c r="AD38" s="360">
        <v>1</v>
      </c>
      <c r="AE38" s="8"/>
      <c r="AF38" s="8"/>
      <c r="AG38" s="8"/>
      <c r="AH38" s="8"/>
      <c r="AI38" s="8"/>
      <c r="AJ38" s="7"/>
      <c r="AK38" s="248"/>
    </row>
    <row r="39" spans="1:37" ht="19.5">
      <c r="A39" s="7"/>
      <c r="B39" s="1366"/>
      <c r="C39" s="352" t="s">
        <v>1213</v>
      </c>
      <c r="D39" s="353" t="s">
        <v>2553</v>
      </c>
      <c r="E39" s="354" t="s">
        <v>2553</v>
      </c>
      <c r="F39" s="355" t="s">
        <v>1214</v>
      </c>
      <c r="G39" s="356">
        <f>150.8/31</f>
        <v>4.864516129032259</v>
      </c>
      <c r="H39" s="7"/>
      <c r="I39" s="7"/>
      <c r="J39" s="8"/>
      <c r="K39" s="8"/>
      <c r="L39" s="8"/>
      <c r="M39" s="8"/>
      <c r="N39" s="8"/>
      <c r="O39" s="8"/>
      <c r="P39" s="8"/>
      <c r="Q39" s="8"/>
      <c r="R39" s="8"/>
      <c r="S39" s="8"/>
      <c r="T39" s="8"/>
      <c r="U39" s="8"/>
      <c r="V39" s="8"/>
      <c r="W39" s="8"/>
      <c r="X39" s="8"/>
      <c r="Y39" s="8"/>
      <c r="Z39" s="8"/>
      <c r="AA39" s="8"/>
      <c r="AB39" s="8"/>
      <c r="AC39" s="8"/>
      <c r="AD39" s="8"/>
      <c r="AE39" s="8"/>
      <c r="AF39" s="8"/>
      <c r="AG39" s="8"/>
      <c r="AH39" s="8"/>
      <c r="AI39" s="8"/>
      <c r="AJ39" s="7"/>
      <c r="AK39" s="248"/>
    </row>
    <row r="40" spans="1:37" ht="20.25" thickBot="1">
      <c r="A40" s="7"/>
      <c r="B40" s="1366"/>
      <c r="C40" s="361" t="s">
        <v>1053</v>
      </c>
      <c r="D40" s="102" t="s">
        <v>2374</v>
      </c>
      <c r="E40" s="102" t="s">
        <v>2374</v>
      </c>
      <c r="F40" s="362" t="s">
        <v>2375</v>
      </c>
      <c r="G40" s="363">
        <f>40/14</f>
        <v>2.857142857142857</v>
      </c>
      <c r="H40" s="7"/>
      <c r="I40" s="7"/>
      <c r="J40" s="8"/>
      <c r="K40" s="8"/>
      <c r="L40" s="8"/>
      <c r="M40" s="8"/>
      <c r="N40" s="8"/>
      <c r="O40" s="8"/>
      <c r="P40" s="8"/>
      <c r="Q40" s="8"/>
      <c r="R40" s="8"/>
      <c r="S40" s="8"/>
      <c r="T40" s="8"/>
      <c r="U40" s="8"/>
      <c r="V40" s="8"/>
      <c r="W40" s="8"/>
      <c r="X40" s="8"/>
      <c r="Y40" s="8"/>
      <c r="Z40" s="8"/>
      <c r="AA40" s="8"/>
      <c r="AB40" s="8"/>
      <c r="AC40" s="8"/>
      <c r="AD40" s="8"/>
      <c r="AE40" s="8"/>
      <c r="AF40" s="8"/>
      <c r="AG40" s="8"/>
      <c r="AH40" s="8"/>
      <c r="AI40" s="8"/>
      <c r="AJ40" s="7"/>
      <c r="AK40" s="248"/>
    </row>
    <row r="41" spans="1:37" ht="30.75" thickBot="1">
      <c r="A41" s="7"/>
      <c r="B41" s="1366"/>
      <c r="C41" s="361" t="s">
        <v>1058</v>
      </c>
      <c r="D41" s="102" t="s">
        <v>2376</v>
      </c>
      <c r="E41" s="102" t="s">
        <v>2376</v>
      </c>
      <c r="F41" s="362" t="s">
        <v>2375</v>
      </c>
      <c r="G41" s="364">
        <f>-64/14</f>
        <v>-4.571428571428571</v>
      </c>
      <c r="H41" s="7"/>
      <c r="I41" s="7"/>
      <c r="J41" s="1331" t="s">
        <v>2353</v>
      </c>
      <c r="K41" s="1332"/>
      <c r="L41" s="1332"/>
      <c r="M41" s="1332"/>
      <c r="N41" s="1332"/>
      <c r="O41" s="1332"/>
      <c r="P41" s="1332"/>
      <c r="Q41" s="1332"/>
      <c r="R41" s="1332"/>
      <c r="S41" s="1332"/>
      <c r="T41" s="1332"/>
      <c r="U41" s="1332"/>
      <c r="V41" s="1332"/>
      <c r="W41" s="1332"/>
      <c r="X41" s="1332"/>
      <c r="Y41" s="1332"/>
      <c r="Z41" s="1332"/>
      <c r="AA41" s="1332"/>
      <c r="AB41" s="1332"/>
      <c r="AC41" s="1332"/>
      <c r="AD41" s="1332"/>
      <c r="AE41" s="1332"/>
      <c r="AF41" s="1332"/>
      <c r="AG41" s="1332"/>
      <c r="AH41" s="1332"/>
      <c r="AI41" s="1332"/>
      <c r="AJ41" s="1333"/>
      <c r="AK41" s="248"/>
    </row>
    <row r="42" spans="1:37" ht="20.25" thickBot="1">
      <c r="A42" s="7"/>
      <c r="B42" s="1366"/>
      <c r="C42" s="361" t="s">
        <v>1064</v>
      </c>
      <c r="D42" s="102" t="s">
        <v>2377</v>
      </c>
      <c r="E42" s="102" t="s">
        <v>2377</v>
      </c>
      <c r="F42" s="362" t="s">
        <v>2375</v>
      </c>
      <c r="G42" s="364">
        <f>-24/14</f>
        <v>-1.7142857142857142</v>
      </c>
      <c r="H42" s="7"/>
      <c r="I42" s="7"/>
      <c r="J42" s="8"/>
      <c r="K42" s="8"/>
      <c r="L42" s="8"/>
      <c r="M42" s="8"/>
      <c r="N42" s="8"/>
      <c r="O42" s="8"/>
      <c r="P42" s="8"/>
      <c r="Q42" s="8"/>
      <c r="R42" s="8"/>
      <c r="S42" s="8"/>
      <c r="T42" s="8"/>
      <c r="U42" s="8"/>
      <c r="V42" s="8"/>
      <c r="W42" s="8"/>
      <c r="X42" s="8"/>
      <c r="Y42" s="8"/>
      <c r="Z42" s="8"/>
      <c r="AA42" s="8"/>
      <c r="AB42" s="8"/>
      <c r="AC42" s="8"/>
      <c r="AD42" s="8"/>
      <c r="AE42" s="8"/>
      <c r="AF42" s="8"/>
      <c r="AG42" s="8"/>
      <c r="AH42" s="184"/>
      <c r="AI42" s="184"/>
      <c r="AJ42" s="183"/>
      <c r="AK42" s="248"/>
    </row>
    <row r="43" spans="1:37" ht="20.25" thickBot="1">
      <c r="A43" s="7"/>
      <c r="B43" s="1366"/>
      <c r="C43" s="361" t="s">
        <v>1215</v>
      </c>
      <c r="D43" s="102" t="s">
        <v>2554</v>
      </c>
      <c r="E43" s="102" t="s">
        <v>2554</v>
      </c>
      <c r="F43" s="362" t="s">
        <v>2555</v>
      </c>
      <c r="G43" s="364">
        <f>-1/64</f>
        <v>-0.015625</v>
      </c>
      <c r="H43" s="7"/>
      <c r="I43" s="7"/>
      <c r="J43" s="257"/>
      <c r="K43" s="258"/>
      <c r="L43" s="259" t="s">
        <v>2365</v>
      </c>
      <c r="M43" s="259" t="s">
        <v>2451</v>
      </c>
      <c r="N43" s="259" t="s">
        <v>2556</v>
      </c>
      <c r="O43" s="259" t="s">
        <v>2557</v>
      </c>
      <c r="P43" s="259" t="s">
        <v>2366</v>
      </c>
      <c r="Q43" s="259" t="s">
        <v>2454</v>
      </c>
      <c r="R43" s="259" t="s">
        <v>2358</v>
      </c>
      <c r="S43" s="259" t="s">
        <v>2370</v>
      </c>
      <c r="T43" s="259" t="s">
        <v>2455</v>
      </c>
      <c r="U43" s="259" t="s">
        <v>2558</v>
      </c>
      <c r="V43" s="259" t="s">
        <v>2361</v>
      </c>
      <c r="W43" s="259" t="s">
        <v>2362</v>
      </c>
      <c r="X43" s="259" t="s">
        <v>2457</v>
      </c>
      <c r="Y43" s="259" t="s">
        <v>2559</v>
      </c>
      <c r="Z43" s="259" t="s">
        <v>2560</v>
      </c>
      <c r="AA43" s="259" t="s">
        <v>2363</v>
      </c>
      <c r="AB43" s="259" t="s">
        <v>2461</v>
      </c>
      <c r="AC43" s="259" t="s">
        <v>2462</v>
      </c>
      <c r="AD43" s="260" t="s">
        <v>2463</v>
      </c>
      <c r="AE43" s="1375" t="s">
        <v>2288</v>
      </c>
      <c r="AF43" s="1376"/>
      <c r="AG43" s="1376"/>
      <c r="AH43" s="1376"/>
      <c r="AI43" s="1376"/>
      <c r="AJ43" s="1377"/>
      <c r="AK43" s="365"/>
    </row>
    <row r="44" spans="1:37" ht="72.75">
      <c r="A44" s="7"/>
      <c r="B44" s="1366"/>
      <c r="C44" s="361" t="s">
        <v>1068</v>
      </c>
      <c r="D44" s="102" t="s">
        <v>2317</v>
      </c>
      <c r="E44" s="102" t="s">
        <v>2317</v>
      </c>
      <c r="F44" s="362" t="s">
        <v>2378</v>
      </c>
      <c r="G44" s="364">
        <f>1/14</f>
        <v>0.07142857142857142</v>
      </c>
      <c r="H44" s="7"/>
      <c r="I44" s="7"/>
      <c r="J44" s="52" t="s">
        <v>2467</v>
      </c>
      <c r="K44" s="53" t="s">
        <v>2468</v>
      </c>
      <c r="L44" s="265"/>
      <c r="M44" s="266" t="s">
        <v>1216</v>
      </c>
      <c r="N44" s="265"/>
      <c r="O44" s="366" t="s">
        <v>1217</v>
      </c>
      <c r="P44" s="265"/>
      <c r="Q44" s="367" t="s">
        <v>1218</v>
      </c>
      <c r="R44" s="268" t="s">
        <v>2561</v>
      </c>
      <c r="S44" s="269" t="s">
        <v>1219</v>
      </c>
      <c r="T44" s="265"/>
      <c r="U44" s="265"/>
      <c r="V44" s="265">
        <v>-1</v>
      </c>
      <c r="W44" s="265"/>
      <c r="X44" s="265"/>
      <c r="Y44" s="265"/>
      <c r="Z44" s="265"/>
      <c r="AA44" s="265"/>
      <c r="AB44" s="366" t="s">
        <v>1220</v>
      </c>
      <c r="AC44" s="265"/>
      <c r="AD44" s="270"/>
      <c r="AE44" s="1378" t="s">
        <v>1221</v>
      </c>
      <c r="AF44" s="1379"/>
      <c r="AG44" s="1379"/>
      <c r="AH44" s="1379"/>
      <c r="AI44" s="1379"/>
      <c r="AJ44" s="1380"/>
      <c r="AK44" s="368"/>
    </row>
    <row r="45" spans="1:37" ht="72.75">
      <c r="A45" s="7"/>
      <c r="B45" s="1366"/>
      <c r="C45" s="361" t="s">
        <v>1070</v>
      </c>
      <c r="D45" s="102" t="s">
        <v>2379</v>
      </c>
      <c r="E45" s="102" t="s">
        <v>2379</v>
      </c>
      <c r="F45" s="362" t="s">
        <v>2378</v>
      </c>
      <c r="G45" s="364">
        <f>-1/14</f>
        <v>-0.07142857142857142</v>
      </c>
      <c r="H45" s="7"/>
      <c r="I45" s="7"/>
      <c r="J45" s="52" t="s">
        <v>2473</v>
      </c>
      <c r="K45" s="53" t="s">
        <v>2474</v>
      </c>
      <c r="L45" s="265"/>
      <c r="M45" s="266" t="s">
        <v>1216</v>
      </c>
      <c r="N45" s="265"/>
      <c r="O45" s="366" t="s">
        <v>1217</v>
      </c>
      <c r="P45" s="265"/>
      <c r="Q45" s="367" t="s">
        <v>1218</v>
      </c>
      <c r="R45" s="268" t="s">
        <v>2561</v>
      </c>
      <c r="S45" s="269" t="s">
        <v>1222</v>
      </c>
      <c r="T45" s="265"/>
      <c r="U45" s="265"/>
      <c r="V45" s="265">
        <v>-1</v>
      </c>
      <c r="W45" s="265"/>
      <c r="X45" s="265"/>
      <c r="Y45" s="265"/>
      <c r="Z45" s="265"/>
      <c r="AA45" s="265"/>
      <c r="AB45" s="366" t="s">
        <v>1220</v>
      </c>
      <c r="AC45" s="265"/>
      <c r="AD45" s="270"/>
      <c r="AE45" s="1338" t="s">
        <v>1223</v>
      </c>
      <c r="AF45" s="1363"/>
      <c r="AG45" s="1363"/>
      <c r="AH45" s="1363"/>
      <c r="AI45" s="1363"/>
      <c r="AJ45" s="1364"/>
      <c r="AK45" s="368"/>
    </row>
    <row r="46" spans="1:37" ht="72.75">
      <c r="A46" s="7"/>
      <c r="B46" s="1366"/>
      <c r="C46" s="361" t="s">
        <v>1224</v>
      </c>
      <c r="D46" s="102" t="s">
        <v>2562</v>
      </c>
      <c r="E46" s="102" t="s">
        <v>2562</v>
      </c>
      <c r="F46" s="362" t="s">
        <v>2563</v>
      </c>
      <c r="G46" s="364">
        <f>-1.5/31</f>
        <v>-0.04838709677419355</v>
      </c>
      <c r="H46" s="7"/>
      <c r="I46" s="7"/>
      <c r="J46" s="52" t="s">
        <v>2475</v>
      </c>
      <c r="K46" s="53" t="s">
        <v>2476</v>
      </c>
      <c r="L46" s="265"/>
      <c r="M46" s="266" t="s">
        <v>1216</v>
      </c>
      <c r="N46" s="265"/>
      <c r="O46" s="366" t="s">
        <v>1217</v>
      </c>
      <c r="P46" s="265"/>
      <c r="Q46" s="367" t="s">
        <v>1218</v>
      </c>
      <c r="R46" s="268" t="s">
        <v>2561</v>
      </c>
      <c r="S46" s="269" t="s">
        <v>1225</v>
      </c>
      <c r="T46" s="265"/>
      <c r="U46" s="265"/>
      <c r="V46" s="265">
        <v>-1</v>
      </c>
      <c r="W46" s="265"/>
      <c r="X46" s="265"/>
      <c r="Y46" s="265"/>
      <c r="Z46" s="265"/>
      <c r="AA46" s="265"/>
      <c r="AB46" s="366" t="s">
        <v>1220</v>
      </c>
      <c r="AC46" s="265"/>
      <c r="AD46" s="270"/>
      <c r="AE46" s="1372" t="s">
        <v>1226</v>
      </c>
      <c r="AF46" s="1373"/>
      <c r="AG46" s="1373"/>
      <c r="AH46" s="1373"/>
      <c r="AI46" s="1373"/>
      <c r="AJ46" s="1374"/>
      <c r="AK46" s="368"/>
    </row>
    <row r="47" spans="1:37" ht="53.25">
      <c r="A47" s="7"/>
      <c r="B47" s="1366"/>
      <c r="C47" s="361" t="s">
        <v>1227</v>
      </c>
      <c r="D47" s="102" t="s">
        <v>2564</v>
      </c>
      <c r="E47" s="102" t="s">
        <v>2564</v>
      </c>
      <c r="F47" s="362" t="s">
        <v>2563</v>
      </c>
      <c r="G47" s="364">
        <f>-1/31</f>
        <v>-0.03225806451612903</v>
      </c>
      <c r="H47" s="7"/>
      <c r="I47" s="7"/>
      <c r="J47" s="26" t="s">
        <v>2477</v>
      </c>
      <c r="K47" s="27" t="s">
        <v>1116</v>
      </c>
      <c r="L47" s="276" t="s">
        <v>1228</v>
      </c>
      <c r="M47" s="276" t="s">
        <v>1229</v>
      </c>
      <c r="N47" s="276"/>
      <c r="O47" s="277" t="s">
        <v>1230</v>
      </c>
      <c r="P47" s="278"/>
      <c r="Q47" s="277" t="s">
        <v>1231</v>
      </c>
      <c r="R47" s="278"/>
      <c r="S47" s="279" t="s">
        <v>1232</v>
      </c>
      <c r="T47" s="278"/>
      <c r="U47" s="278"/>
      <c r="V47" s="278"/>
      <c r="W47" s="278">
        <v>1</v>
      </c>
      <c r="X47" s="278"/>
      <c r="Y47" s="278"/>
      <c r="Z47" s="278"/>
      <c r="AA47" s="278"/>
      <c r="AB47" s="280" t="s">
        <v>2565</v>
      </c>
      <c r="AC47" s="278"/>
      <c r="AD47" s="281"/>
      <c r="AE47" s="1362" t="s">
        <v>1233</v>
      </c>
      <c r="AF47" s="1363"/>
      <c r="AG47" s="1363"/>
      <c r="AH47" s="1363"/>
      <c r="AI47" s="1363"/>
      <c r="AJ47" s="1364"/>
      <c r="AK47" s="368"/>
    </row>
    <row r="48" spans="1:37" ht="53.25">
      <c r="A48" s="7"/>
      <c r="B48" s="1366"/>
      <c r="C48" s="369" t="s">
        <v>1234</v>
      </c>
      <c r="D48" s="370" t="s">
        <v>2566</v>
      </c>
      <c r="E48" s="97" t="s">
        <v>2567</v>
      </c>
      <c r="F48" s="371" t="s">
        <v>1235</v>
      </c>
      <c r="G48" s="372">
        <v>0.03</v>
      </c>
      <c r="H48" s="7"/>
      <c r="I48" s="7"/>
      <c r="J48" s="26" t="s">
        <v>2479</v>
      </c>
      <c r="K48" s="27" t="s">
        <v>1123</v>
      </c>
      <c r="L48" s="276" t="s">
        <v>1228</v>
      </c>
      <c r="M48" s="276"/>
      <c r="N48" s="276" t="s">
        <v>1229</v>
      </c>
      <c r="O48" s="282" t="s">
        <v>1236</v>
      </c>
      <c r="P48" s="278"/>
      <c r="Q48" s="282" t="s">
        <v>1237</v>
      </c>
      <c r="R48" s="278"/>
      <c r="S48" s="279" t="s">
        <v>1238</v>
      </c>
      <c r="T48" s="278"/>
      <c r="U48" s="278"/>
      <c r="V48" s="278"/>
      <c r="W48" s="278">
        <v>1</v>
      </c>
      <c r="X48" s="278"/>
      <c r="Y48" s="278"/>
      <c r="Z48" s="278"/>
      <c r="AA48" s="278"/>
      <c r="AB48" s="280" t="s">
        <v>2565</v>
      </c>
      <c r="AC48" s="278"/>
      <c r="AD48" s="281"/>
      <c r="AE48" s="1362" t="s">
        <v>1239</v>
      </c>
      <c r="AF48" s="1363"/>
      <c r="AG48" s="1363"/>
      <c r="AH48" s="1363"/>
      <c r="AI48" s="1363"/>
      <c r="AJ48" s="1364"/>
      <c r="AK48" s="368"/>
    </row>
    <row r="49" spans="1:37" ht="53.25">
      <c r="A49" s="7"/>
      <c r="B49" s="1366"/>
      <c r="C49" s="369" t="s">
        <v>1240</v>
      </c>
      <c r="D49" s="370" t="s">
        <v>2568</v>
      </c>
      <c r="E49" s="97" t="s">
        <v>2569</v>
      </c>
      <c r="F49" s="371" t="s">
        <v>1241</v>
      </c>
      <c r="G49" s="371">
        <v>0.01</v>
      </c>
      <c r="H49" s="7"/>
      <c r="I49" s="7"/>
      <c r="J49" s="26" t="s">
        <v>2482</v>
      </c>
      <c r="K49" s="27" t="s">
        <v>1128</v>
      </c>
      <c r="L49" s="276"/>
      <c r="M49" s="276" t="s">
        <v>1229</v>
      </c>
      <c r="N49" s="276"/>
      <c r="O49" s="277" t="s">
        <v>1230</v>
      </c>
      <c r="P49" s="373" t="s">
        <v>1242</v>
      </c>
      <c r="Q49" s="277" t="s">
        <v>1231</v>
      </c>
      <c r="R49" s="278"/>
      <c r="S49" s="279" t="s">
        <v>1243</v>
      </c>
      <c r="T49" s="276" t="s">
        <v>1244</v>
      </c>
      <c r="U49" s="278"/>
      <c r="V49" s="278"/>
      <c r="W49" s="278">
        <v>1</v>
      </c>
      <c r="X49" s="278"/>
      <c r="Y49" s="278"/>
      <c r="Z49" s="278"/>
      <c r="AA49" s="278"/>
      <c r="AB49" s="280" t="s">
        <v>2565</v>
      </c>
      <c r="AC49" s="278"/>
      <c r="AD49" s="281"/>
      <c r="AE49" s="1362" t="s">
        <v>1245</v>
      </c>
      <c r="AF49" s="1363"/>
      <c r="AG49" s="1363"/>
      <c r="AH49" s="1363"/>
      <c r="AI49" s="1363"/>
      <c r="AJ49" s="1364"/>
      <c r="AK49" s="368"/>
    </row>
    <row r="50" spans="1:37" ht="58.5">
      <c r="A50" s="7"/>
      <c r="B50" s="1366"/>
      <c r="C50" s="369" t="s">
        <v>1246</v>
      </c>
      <c r="D50" s="370" t="s">
        <v>2570</v>
      </c>
      <c r="E50" s="97" t="s">
        <v>2571</v>
      </c>
      <c r="F50" s="371" t="s">
        <v>1247</v>
      </c>
      <c r="G50" s="371">
        <v>0.02</v>
      </c>
      <c r="H50" s="7"/>
      <c r="I50" s="7"/>
      <c r="J50" s="26" t="s">
        <v>2484</v>
      </c>
      <c r="K50" s="27" t="s">
        <v>1134</v>
      </c>
      <c r="L50" s="276"/>
      <c r="M50" s="276"/>
      <c r="N50" s="276" t="s">
        <v>1229</v>
      </c>
      <c r="O50" s="282" t="s">
        <v>1236</v>
      </c>
      <c r="P50" s="276" t="s">
        <v>1242</v>
      </c>
      <c r="Q50" s="282" t="s">
        <v>1237</v>
      </c>
      <c r="R50" s="278"/>
      <c r="S50" s="279" t="s">
        <v>1248</v>
      </c>
      <c r="T50" s="374" t="s">
        <v>1249</v>
      </c>
      <c r="U50" s="278"/>
      <c r="V50" s="278"/>
      <c r="W50" s="278">
        <v>1</v>
      </c>
      <c r="X50" s="278"/>
      <c r="Y50" s="278"/>
      <c r="Z50" s="278"/>
      <c r="AA50" s="278"/>
      <c r="AB50" s="280" t="s">
        <v>2565</v>
      </c>
      <c r="AC50" s="278"/>
      <c r="AD50" s="281"/>
      <c r="AE50" s="1362" t="s">
        <v>1250</v>
      </c>
      <c r="AF50" s="1363"/>
      <c r="AG50" s="1363"/>
      <c r="AH50" s="1363"/>
      <c r="AI50" s="1363"/>
      <c r="AJ50" s="1364"/>
      <c r="AK50" s="368"/>
    </row>
    <row r="51" spans="1:37" ht="39">
      <c r="A51" s="7"/>
      <c r="B51" s="1366"/>
      <c r="C51" s="369" t="s">
        <v>1251</v>
      </c>
      <c r="D51" s="370" t="s">
        <v>2572</v>
      </c>
      <c r="E51" s="97" t="s">
        <v>2573</v>
      </c>
      <c r="F51" s="371" t="s">
        <v>1252</v>
      </c>
      <c r="G51" s="371">
        <v>0.04</v>
      </c>
      <c r="H51" s="7"/>
      <c r="I51" s="7"/>
      <c r="J51" s="26" t="s">
        <v>2486</v>
      </c>
      <c r="K51" s="27" t="s">
        <v>2487</v>
      </c>
      <c r="L51" s="276"/>
      <c r="M51" s="285">
        <v>-1</v>
      </c>
      <c r="N51" s="285">
        <v>1</v>
      </c>
      <c r="O51" s="280" t="s">
        <v>2574</v>
      </c>
      <c r="P51" s="278"/>
      <c r="Q51" s="280" t="s">
        <v>2575</v>
      </c>
      <c r="R51" s="278"/>
      <c r="S51" s="279" t="s">
        <v>1253</v>
      </c>
      <c r="T51" s="278"/>
      <c r="U51" s="278"/>
      <c r="V51" s="278"/>
      <c r="W51" s="278"/>
      <c r="X51" s="278"/>
      <c r="Y51" s="278"/>
      <c r="Z51" s="278"/>
      <c r="AA51" s="278"/>
      <c r="AB51" s="278"/>
      <c r="AC51" s="278"/>
      <c r="AD51" s="281"/>
      <c r="AE51" s="1362" t="s">
        <v>1254</v>
      </c>
      <c r="AF51" s="1363"/>
      <c r="AG51" s="1363"/>
      <c r="AH51" s="1363"/>
      <c r="AI51" s="1363"/>
      <c r="AJ51" s="1364"/>
      <c r="AK51" s="368"/>
    </row>
    <row r="52" spans="1:37" ht="58.5">
      <c r="A52" s="7"/>
      <c r="B52" s="1366"/>
      <c r="C52" s="369" t="s">
        <v>1255</v>
      </c>
      <c r="D52" s="370" t="s">
        <v>2576</v>
      </c>
      <c r="E52" s="97" t="s">
        <v>2357</v>
      </c>
      <c r="F52" s="371" t="s">
        <v>1046</v>
      </c>
      <c r="G52" s="371">
        <v>0.07</v>
      </c>
      <c r="H52" s="7"/>
      <c r="I52" s="7"/>
      <c r="J52" s="26" t="s">
        <v>2493</v>
      </c>
      <c r="K52" s="27" t="s">
        <v>2494</v>
      </c>
      <c r="L52" s="276"/>
      <c r="M52" s="278"/>
      <c r="N52" s="278"/>
      <c r="O52" s="282" t="s">
        <v>1256</v>
      </c>
      <c r="P52" s="278"/>
      <c r="Q52" s="282" t="s">
        <v>1257</v>
      </c>
      <c r="R52" s="278"/>
      <c r="S52" s="279" t="s">
        <v>1258</v>
      </c>
      <c r="T52" s="278"/>
      <c r="U52" s="280" t="s">
        <v>2577</v>
      </c>
      <c r="V52" s="282" t="s">
        <v>1259</v>
      </c>
      <c r="W52" s="278">
        <v>-1</v>
      </c>
      <c r="X52" s="278"/>
      <c r="Y52" s="278"/>
      <c r="Z52" s="278"/>
      <c r="AA52" s="278"/>
      <c r="AB52" s="280" t="s">
        <v>1260</v>
      </c>
      <c r="AC52" s="278"/>
      <c r="AD52" s="281"/>
      <c r="AE52" s="1362" t="s">
        <v>1261</v>
      </c>
      <c r="AF52" s="1363"/>
      <c r="AG52" s="1363"/>
      <c r="AH52" s="1363"/>
      <c r="AI52" s="1363"/>
      <c r="AJ52" s="1364"/>
      <c r="AK52" s="368"/>
    </row>
    <row r="53" spans="1:37" ht="53.25">
      <c r="A53" s="7"/>
      <c r="B53" s="1366"/>
      <c r="C53" s="375" t="s">
        <v>1262</v>
      </c>
      <c r="D53" s="376" t="s">
        <v>2578</v>
      </c>
      <c r="E53" s="377" t="s">
        <v>2579</v>
      </c>
      <c r="F53" s="378" t="s">
        <v>1263</v>
      </c>
      <c r="G53" s="378">
        <v>0.01</v>
      </c>
      <c r="H53" s="7"/>
      <c r="I53" s="7"/>
      <c r="J53" s="286" t="s">
        <v>2499</v>
      </c>
      <c r="K53" s="287" t="s">
        <v>1146</v>
      </c>
      <c r="L53" s="288"/>
      <c r="M53" s="289"/>
      <c r="N53" s="290">
        <v>-1</v>
      </c>
      <c r="O53" s="289"/>
      <c r="P53" s="289"/>
      <c r="Q53" s="291" t="s">
        <v>2580</v>
      </c>
      <c r="R53" s="289"/>
      <c r="S53" s="379" t="s">
        <v>1264</v>
      </c>
      <c r="T53" s="289"/>
      <c r="U53" s="289"/>
      <c r="V53" s="289"/>
      <c r="W53" s="289"/>
      <c r="X53" s="289"/>
      <c r="Y53" s="293" t="s">
        <v>1265</v>
      </c>
      <c r="Z53" s="289">
        <v>1</v>
      </c>
      <c r="AA53" s="289"/>
      <c r="AB53" s="380" t="s">
        <v>1266</v>
      </c>
      <c r="AC53" s="289"/>
      <c r="AD53" s="294"/>
      <c r="AE53" s="1362" t="s">
        <v>1267</v>
      </c>
      <c r="AF53" s="1363"/>
      <c r="AG53" s="1363"/>
      <c r="AH53" s="1363"/>
      <c r="AI53" s="1363"/>
      <c r="AJ53" s="1364"/>
      <c r="AK53" s="368"/>
    </row>
    <row r="54" spans="1:37" ht="39">
      <c r="A54" s="7"/>
      <c r="B54" s="1366"/>
      <c r="C54" s="375" t="s">
        <v>1268</v>
      </c>
      <c r="D54" s="376" t="s">
        <v>2581</v>
      </c>
      <c r="E54" s="377" t="s">
        <v>2582</v>
      </c>
      <c r="F54" s="378" t="s">
        <v>1269</v>
      </c>
      <c r="G54" s="378">
        <v>0</v>
      </c>
      <c r="H54" s="7"/>
      <c r="I54" s="7"/>
      <c r="J54" s="286" t="s">
        <v>2502</v>
      </c>
      <c r="K54" s="287" t="s">
        <v>1151</v>
      </c>
      <c r="L54" s="380" t="s">
        <v>1270</v>
      </c>
      <c r="M54" s="289"/>
      <c r="N54" s="289"/>
      <c r="O54" s="289"/>
      <c r="P54" s="289"/>
      <c r="Q54" s="289">
        <v>-1</v>
      </c>
      <c r="R54" s="289"/>
      <c r="S54" s="292" t="s">
        <v>1153</v>
      </c>
      <c r="T54" s="289"/>
      <c r="U54" s="289"/>
      <c r="V54" s="289"/>
      <c r="W54" s="289"/>
      <c r="X54" s="289"/>
      <c r="Y54" s="289">
        <v>1</v>
      </c>
      <c r="Z54" s="381" t="s">
        <v>1270</v>
      </c>
      <c r="AA54" s="289"/>
      <c r="AB54" s="291" t="s">
        <v>1271</v>
      </c>
      <c r="AC54" s="289"/>
      <c r="AD54" s="294"/>
      <c r="AE54" s="1362" t="s">
        <v>1272</v>
      </c>
      <c r="AF54" s="1363"/>
      <c r="AG54" s="1363"/>
      <c r="AH54" s="1363"/>
      <c r="AI54" s="1363"/>
      <c r="AJ54" s="1364"/>
      <c r="AK54" s="368"/>
    </row>
    <row r="55" spans="1:37" ht="53.25">
      <c r="A55" s="7"/>
      <c r="B55" s="1366"/>
      <c r="C55" s="375" t="s">
        <v>1273</v>
      </c>
      <c r="D55" s="376" t="s">
        <v>2583</v>
      </c>
      <c r="E55" s="377" t="s">
        <v>2584</v>
      </c>
      <c r="F55" s="378" t="s">
        <v>1274</v>
      </c>
      <c r="G55" s="382">
        <v>0.01</v>
      </c>
      <c r="H55" s="7"/>
      <c r="I55" s="7"/>
      <c r="J55" s="286">
        <v>12</v>
      </c>
      <c r="K55" s="287" t="s">
        <v>1156</v>
      </c>
      <c r="L55" s="288"/>
      <c r="M55" s="289"/>
      <c r="N55" s="289"/>
      <c r="O55" s="289"/>
      <c r="P55" s="381" t="s">
        <v>1275</v>
      </c>
      <c r="Q55" s="289">
        <v>-1</v>
      </c>
      <c r="R55" s="289"/>
      <c r="S55" s="379" t="s">
        <v>1276</v>
      </c>
      <c r="T55" s="293" t="s">
        <v>1277</v>
      </c>
      <c r="U55" s="289"/>
      <c r="V55" s="289"/>
      <c r="W55" s="289"/>
      <c r="X55" s="289"/>
      <c r="Y55" s="289">
        <v>1</v>
      </c>
      <c r="Z55" s="381" t="s">
        <v>1270</v>
      </c>
      <c r="AA55" s="289"/>
      <c r="AB55" s="291" t="s">
        <v>1271</v>
      </c>
      <c r="AC55" s="289"/>
      <c r="AD55" s="294"/>
      <c r="AE55" s="1362" t="s">
        <v>1278</v>
      </c>
      <c r="AF55" s="1363"/>
      <c r="AG55" s="1363"/>
      <c r="AH55" s="1363"/>
      <c r="AI55" s="1363"/>
      <c r="AJ55" s="1364"/>
      <c r="AK55" s="368"/>
    </row>
    <row r="56" spans="1:37" ht="53.25">
      <c r="A56" s="7"/>
      <c r="B56" s="1366"/>
      <c r="C56" s="375" t="s">
        <v>1279</v>
      </c>
      <c r="D56" s="376" t="s">
        <v>2585</v>
      </c>
      <c r="E56" s="377" t="s">
        <v>2586</v>
      </c>
      <c r="F56" s="378" t="s">
        <v>1280</v>
      </c>
      <c r="G56" s="378">
        <v>0.01</v>
      </c>
      <c r="H56" s="7"/>
      <c r="I56" s="7"/>
      <c r="J56" s="286">
        <v>13</v>
      </c>
      <c r="K56" s="287" t="s">
        <v>1161</v>
      </c>
      <c r="L56" s="288" t="s">
        <v>1162</v>
      </c>
      <c r="M56" s="289"/>
      <c r="N56" s="289"/>
      <c r="O56" s="293" t="s">
        <v>1236</v>
      </c>
      <c r="P56" s="289"/>
      <c r="Q56" s="293" t="s">
        <v>1237</v>
      </c>
      <c r="R56" s="289"/>
      <c r="S56" s="295" t="s">
        <v>1281</v>
      </c>
      <c r="T56" s="289"/>
      <c r="U56" s="289"/>
      <c r="V56" s="289"/>
      <c r="W56" s="289"/>
      <c r="X56" s="289">
        <v>1</v>
      </c>
      <c r="Y56" s="289"/>
      <c r="Z56" s="296" t="s">
        <v>1164</v>
      </c>
      <c r="AA56" s="289"/>
      <c r="AB56" s="297" t="s">
        <v>1282</v>
      </c>
      <c r="AC56" s="289"/>
      <c r="AD56" s="294"/>
      <c r="AE56" s="1362" t="s">
        <v>1283</v>
      </c>
      <c r="AF56" s="1363"/>
      <c r="AG56" s="1363"/>
      <c r="AH56" s="1363"/>
      <c r="AI56" s="1363"/>
      <c r="AJ56" s="1364"/>
      <c r="AK56" s="368"/>
    </row>
    <row r="57" spans="1:37" ht="53.25">
      <c r="A57" s="7"/>
      <c r="B57" s="1366"/>
      <c r="C57" s="375" t="s">
        <v>1284</v>
      </c>
      <c r="D57" s="376" t="s">
        <v>2587</v>
      </c>
      <c r="E57" s="377" t="s">
        <v>2588</v>
      </c>
      <c r="F57" s="378" t="s">
        <v>1285</v>
      </c>
      <c r="G57" s="378">
        <v>0.02</v>
      </c>
      <c r="H57" s="7"/>
      <c r="I57" s="7"/>
      <c r="J57" s="286">
        <v>14</v>
      </c>
      <c r="K57" s="287" t="s">
        <v>1167</v>
      </c>
      <c r="L57" s="288"/>
      <c r="M57" s="289"/>
      <c r="N57" s="289"/>
      <c r="O57" s="293" t="s">
        <v>1236</v>
      </c>
      <c r="P57" s="288" t="s">
        <v>1168</v>
      </c>
      <c r="Q57" s="293" t="s">
        <v>1237</v>
      </c>
      <c r="R57" s="289"/>
      <c r="S57" s="295" t="s">
        <v>1286</v>
      </c>
      <c r="T57" s="288" t="s">
        <v>1170</v>
      </c>
      <c r="U57" s="289"/>
      <c r="V57" s="289"/>
      <c r="W57" s="289"/>
      <c r="X57" s="289">
        <v>1</v>
      </c>
      <c r="Y57" s="289"/>
      <c r="Z57" s="296" t="s">
        <v>1164</v>
      </c>
      <c r="AA57" s="289"/>
      <c r="AB57" s="297" t="s">
        <v>1282</v>
      </c>
      <c r="AC57" s="289"/>
      <c r="AD57" s="294"/>
      <c r="AE57" s="1362" t="s">
        <v>1287</v>
      </c>
      <c r="AF57" s="1363"/>
      <c r="AG57" s="1363"/>
      <c r="AH57" s="1363"/>
      <c r="AI57" s="1363"/>
      <c r="AJ57" s="1364"/>
      <c r="AK57" s="368"/>
    </row>
    <row r="58" spans="1:37" ht="58.5">
      <c r="A58" s="7"/>
      <c r="B58" s="1366"/>
      <c r="C58" s="375" t="s">
        <v>1288</v>
      </c>
      <c r="D58" s="376" t="s">
        <v>2589</v>
      </c>
      <c r="E58" s="377" t="s">
        <v>2589</v>
      </c>
      <c r="F58" s="378" t="s">
        <v>1289</v>
      </c>
      <c r="G58" s="383">
        <f>31/150.8</f>
        <v>0.2055702917771883</v>
      </c>
      <c r="H58" s="7"/>
      <c r="I58" s="7"/>
      <c r="J58" s="286">
        <v>15</v>
      </c>
      <c r="K58" s="287" t="s">
        <v>1172</v>
      </c>
      <c r="L58" s="288"/>
      <c r="M58" s="289"/>
      <c r="N58" s="289"/>
      <c r="O58" s="381" t="s">
        <v>1290</v>
      </c>
      <c r="P58" s="289"/>
      <c r="Q58" s="381" t="s">
        <v>1291</v>
      </c>
      <c r="R58" s="289"/>
      <c r="S58" s="295" t="s">
        <v>1292</v>
      </c>
      <c r="T58" s="289"/>
      <c r="U58" s="291" t="s">
        <v>2577</v>
      </c>
      <c r="V58" s="293" t="s">
        <v>1259</v>
      </c>
      <c r="W58" s="289"/>
      <c r="X58" s="289">
        <v>-1</v>
      </c>
      <c r="Y58" s="289"/>
      <c r="Z58" s="289"/>
      <c r="AA58" s="289"/>
      <c r="AB58" s="291" t="s">
        <v>1293</v>
      </c>
      <c r="AC58" s="289"/>
      <c r="AD58" s="294"/>
      <c r="AE58" s="1362" t="s">
        <v>1294</v>
      </c>
      <c r="AF58" s="1363"/>
      <c r="AG58" s="1363"/>
      <c r="AH58" s="1363"/>
      <c r="AI58" s="1363"/>
      <c r="AJ58" s="1364"/>
      <c r="AK58" s="368"/>
    </row>
    <row r="59" spans="1:37" ht="19.5">
      <c r="A59" s="7"/>
      <c r="B59" s="1366"/>
      <c r="C59" s="384" t="s">
        <v>1295</v>
      </c>
      <c r="D59" s="385" t="s">
        <v>2590</v>
      </c>
      <c r="E59" s="386" t="s">
        <v>2591</v>
      </c>
      <c r="F59" s="387" t="s">
        <v>1296</v>
      </c>
      <c r="G59" s="387">
        <v>0.75</v>
      </c>
      <c r="H59" s="7"/>
      <c r="I59" s="7"/>
      <c r="J59" s="286">
        <v>16</v>
      </c>
      <c r="K59" s="287" t="s">
        <v>1176</v>
      </c>
      <c r="L59" s="288"/>
      <c r="M59" s="289"/>
      <c r="N59" s="289"/>
      <c r="O59" s="289"/>
      <c r="P59" s="289"/>
      <c r="Q59" s="289">
        <v>1</v>
      </c>
      <c r="R59" s="289"/>
      <c r="S59" s="295" t="s">
        <v>1297</v>
      </c>
      <c r="T59" s="289"/>
      <c r="U59" s="289"/>
      <c r="V59" s="289"/>
      <c r="W59" s="289"/>
      <c r="X59" s="289"/>
      <c r="Y59" s="289">
        <v>-1</v>
      </c>
      <c r="Z59" s="289"/>
      <c r="AA59" s="289"/>
      <c r="AB59" s="293" t="s">
        <v>1298</v>
      </c>
      <c r="AC59" s="289"/>
      <c r="AD59" s="294"/>
      <c r="AE59" s="1362" t="s">
        <v>1299</v>
      </c>
      <c r="AF59" s="1363"/>
      <c r="AG59" s="1363"/>
      <c r="AH59" s="1363"/>
      <c r="AI59" s="1363"/>
      <c r="AJ59" s="1364"/>
      <c r="AK59" s="368"/>
    </row>
    <row r="60" spans="1:37" ht="19.5">
      <c r="A60" s="7"/>
      <c r="B60" s="1366"/>
      <c r="C60" s="384" t="s">
        <v>1300</v>
      </c>
      <c r="D60" s="385" t="s">
        <v>2592</v>
      </c>
      <c r="E60" s="386" t="s">
        <v>2593</v>
      </c>
      <c r="F60" s="387" t="s">
        <v>1301</v>
      </c>
      <c r="G60" s="387">
        <v>0.75</v>
      </c>
      <c r="H60" s="7"/>
      <c r="I60" s="7"/>
      <c r="J60" s="286">
        <v>17</v>
      </c>
      <c r="K60" s="287" t="s">
        <v>1180</v>
      </c>
      <c r="L60" s="288"/>
      <c r="M60" s="289"/>
      <c r="N60" s="290">
        <v>1</v>
      </c>
      <c r="O60" s="289"/>
      <c r="P60" s="289"/>
      <c r="Q60" s="289"/>
      <c r="R60" s="289"/>
      <c r="S60" s="295" t="s">
        <v>2518</v>
      </c>
      <c r="T60" s="289"/>
      <c r="U60" s="289"/>
      <c r="V60" s="289"/>
      <c r="W60" s="289"/>
      <c r="X60" s="289"/>
      <c r="Y60" s="289"/>
      <c r="Z60" s="289">
        <v>-1</v>
      </c>
      <c r="AA60" s="289"/>
      <c r="AB60" s="381" t="s">
        <v>1302</v>
      </c>
      <c r="AC60" s="289"/>
      <c r="AD60" s="294"/>
      <c r="AE60" s="1362" t="s">
        <v>1303</v>
      </c>
      <c r="AF60" s="1363"/>
      <c r="AG60" s="1363"/>
      <c r="AH60" s="1363"/>
      <c r="AI60" s="1363"/>
      <c r="AJ60" s="1364"/>
      <c r="AK60" s="368"/>
    </row>
    <row r="61" spans="1:37" ht="58.5">
      <c r="A61" s="7"/>
      <c r="B61" s="1366"/>
      <c r="C61" s="384" t="s">
        <v>1304</v>
      </c>
      <c r="D61" s="385" t="s">
        <v>2594</v>
      </c>
      <c r="E61" s="386" t="s">
        <v>2595</v>
      </c>
      <c r="F61" s="387" t="s">
        <v>1305</v>
      </c>
      <c r="G61" s="387">
        <v>0.6</v>
      </c>
      <c r="H61" s="7"/>
      <c r="I61" s="7"/>
      <c r="J61" s="38">
        <v>18</v>
      </c>
      <c r="K61" s="39" t="s">
        <v>1184</v>
      </c>
      <c r="L61" s="299" t="s">
        <v>1306</v>
      </c>
      <c r="M61" s="300"/>
      <c r="N61" s="300"/>
      <c r="O61" s="299" t="s">
        <v>1307</v>
      </c>
      <c r="P61" s="299" t="s">
        <v>1308</v>
      </c>
      <c r="Q61" s="301" t="s">
        <v>1237</v>
      </c>
      <c r="R61" s="300"/>
      <c r="S61" s="302" t="s">
        <v>1309</v>
      </c>
      <c r="T61" s="300"/>
      <c r="U61" s="300"/>
      <c r="V61" s="300"/>
      <c r="W61" s="300"/>
      <c r="X61" s="300"/>
      <c r="Y61" s="300"/>
      <c r="Z61" s="300"/>
      <c r="AA61" s="300">
        <v>1</v>
      </c>
      <c r="AB61" s="303" t="s">
        <v>2565</v>
      </c>
      <c r="AC61" s="300"/>
      <c r="AD61" s="304"/>
      <c r="AE61" s="1362" t="s">
        <v>1310</v>
      </c>
      <c r="AF61" s="1363"/>
      <c r="AG61" s="1363"/>
      <c r="AH61" s="1363"/>
      <c r="AI61" s="1363"/>
      <c r="AJ61" s="1364"/>
      <c r="AK61" s="368"/>
    </row>
    <row r="62" spans="1:37" ht="58.5">
      <c r="A62" s="7"/>
      <c r="B62" s="1366"/>
      <c r="C62" s="384" t="s">
        <v>2596</v>
      </c>
      <c r="D62" s="385" t="s">
        <v>2597</v>
      </c>
      <c r="E62" s="386" t="s">
        <v>2598</v>
      </c>
      <c r="F62" s="387" t="s">
        <v>1311</v>
      </c>
      <c r="G62" s="387">
        <v>0.9</v>
      </c>
      <c r="H62" s="7"/>
      <c r="I62" s="7"/>
      <c r="J62" s="38">
        <v>19</v>
      </c>
      <c r="K62" s="39" t="s">
        <v>2494</v>
      </c>
      <c r="L62" s="300"/>
      <c r="M62" s="300"/>
      <c r="N62" s="300"/>
      <c r="O62" s="388" t="s">
        <v>1290</v>
      </c>
      <c r="P62" s="300"/>
      <c r="Q62" s="388" t="s">
        <v>1291</v>
      </c>
      <c r="R62" s="300"/>
      <c r="S62" s="309" t="s">
        <v>1312</v>
      </c>
      <c r="T62" s="300"/>
      <c r="U62" s="303" t="s">
        <v>2577</v>
      </c>
      <c r="V62" s="301" t="s">
        <v>1259</v>
      </c>
      <c r="W62" s="300"/>
      <c r="X62" s="300"/>
      <c r="Y62" s="300"/>
      <c r="Z62" s="300"/>
      <c r="AA62" s="300">
        <v>-1</v>
      </c>
      <c r="AB62" s="303" t="s">
        <v>1293</v>
      </c>
      <c r="AC62" s="300"/>
      <c r="AD62" s="304"/>
      <c r="AE62" s="1362" t="s">
        <v>1313</v>
      </c>
      <c r="AF62" s="1363"/>
      <c r="AG62" s="1363"/>
      <c r="AH62" s="1363"/>
      <c r="AI62" s="1363"/>
      <c r="AJ62" s="1364"/>
      <c r="AK62" s="368"/>
    </row>
    <row r="63" spans="1:37" ht="39.75" thickBot="1">
      <c r="A63" s="7"/>
      <c r="B63" s="1367"/>
      <c r="C63" s="389" t="s">
        <v>1314</v>
      </c>
      <c r="D63" s="385" t="s">
        <v>2599</v>
      </c>
      <c r="E63" s="390" t="s">
        <v>2600</v>
      </c>
      <c r="F63" s="391" t="s">
        <v>1315</v>
      </c>
      <c r="G63" s="392">
        <v>3.23</v>
      </c>
      <c r="H63" s="7"/>
      <c r="I63" s="7"/>
      <c r="J63" s="315">
        <v>20</v>
      </c>
      <c r="K63" s="316" t="s">
        <v>2524</v>
      </c>
      <c r="L63" s="274"/>
      <c r="M63" s="274"/>
      <c r="N63" s="274"/>
      <c r="O63" s="274"/>
      <c r="P63" s="274"/>
      <c r="Q63" s="274">
        <v>-1</v>
      </c>
      <c r="R63" s="274"/>
      <c r="S63" s="317" t="s">
        <v>1193</v>
      </c>
      <c r="T63" s="274"/>
      <c r="U63" s="274"/>
      <c r="V63" s="274"/>
      <c r="W63" s="274"/>
      <c r="X63" s="274"/>
      <c r="Y63" s="274"/>
      <c r="Z63" s="274"/>
      <c r="AA63" s="274"/>
      <c r="AB63" s="318" t="s">
        <v>1194</v>
      </c>
      <c r="AC63" s="318" t="s">
        <v>2525</v>
      </c>
      <c r="AD63" s="319" t="s">
        <v>2526</v>
      </c>
      <c r="AE63" s="1362" t="s">
        <v>1316</v>
      </c>
      <c r="AF63" s="1363"/>
      <c r="AG63" s="1363"/>
      <c r="AH63" s="1363"/>
      <c r="AI63" s="1363"/>
      <c r="AJ63" s="1364"/>
      <c r="AK63" s="368"/>
    </row>
    <row r="64" spans="1:37" ht="52.5" thickBot="1">
      <c r="A64" s="7"/>
      <c r="B64" s="1365" t="s">
        <v>2380</v>
      </c>
      <c r="C64" s="393" t="s">
        <v>2381</v>
      </c>
      <c r="D64" s="394" t="s">
        <v>2601</v>
      </c>
      <c r="E64" s="114" t="s">
        <v>2383</v>
      </c>
      <c r="F64" s="395" t="s">
        <v>1072</v>
      </c>
      <c r="G64" s="396">
        <v>3</v>
      </c>
      <c r="H64" s="7"/>
      <c r="I64" s="7"/>
      <c r="J64" s="323">
        <v>21</v>
      </c>
      <c r="K64" s="324" t="s">
        <v>2527</v>
      </c>
      <c r="L64" s="325"/>
      <c r="M64" s="325"/>
      <c r="N64" s="325"/>
      <c r="O64" s="325"/>
      <c r="P64" s="325"/>
      <c r="Q64" s="325">
        <v>1</v>
      </c>
      <c r="R64" s="325"/>
      <c r="S64" s="326" t="s">
        <v>2528</v>
      </c>
      <c r="T64" s="325"/>
      <c r="U64" s="325"/>
      <c r="V64" s="325"/>
      <c r="W64" s="325"/>
      <c r="X64" s="325"/>
      <c r="Y64" s="325"/>
      <c r="Z64" s="325"/>
      <c r="AA64" s="325"/>
      <c r="AB64" s="327" t="s">
        <v>1197</v>
      </c>
      <c r="AC64" s="327" t="s">
        <v>1198</v>
      </c>
      <c r="AD64" s="328" t="s">
        <v>1199</v>
      </c>
      <c r="AE64" s="1368" t="s">
        <v>1317</v>
      </c>
      <c r="AF64" s="1369"/>
      <c r="AG64" s="1369"/>
      <c r="AH64" s="1369"/>
      <c r="AI64" s="1369"/>
      <c r="AJ64" s="1370"/>
      <c r="AK64" s="368"/>
    </row>
    <row r="65" spans="1:37" ht="20.25" thickBot="1">
      <c r="A65" s="7"/>
      <c r="B65" s="1366"/>
      <c r="C65" s="397" t="s">
        <v>1318</v>
      </c>
      <c r="D65" s="398" t="s">
        <v>2384</v>
      </c>
      <c r="E65" s="119" t="s">
        <v>2385</v>
      </c>
      <c r="F65" s="399" t="s">
        <v>1075</v>
      </c>
      <c r="G65" s="400">
        <v>0.1</v>
      </c>
      <c r="H65" s="7"/>
      <c r="I65" s="7"/>
      <c r="J65" s="8"/>
      <c r="K65" s="332" t="s">
        <v>2328</v>
      </c>
      <c r="L65" s="333"/>
      <c r="M65" s="333"/>
      <c r="N65" s="333"/>
      <c r="O65" s="333"/>
      <c r="P65" s="333"/>
      <c r="Q65" s="333"/>
      <c r="R65" s="333"/>
      <c r="S65" s="333"/>
      <c r="T65" s="333"/>
      <c r="U65" s="333"/>
      <c r="V65" s="333"/>
      <c r="W65" s="333"/>
      <c r="X65" s="333"/>
      <c r="Y65" s="333"/>
      <c r="Z65" s="333"/>
      <c r="AA65" s="333"/>
      <c r="AB65" s="333"/>
      <c r="AC65" s="333"/>
      <c r="AD65" s="334"/>
      <c r="AE65" s="8"/>
      <c r="AF65" s="8"/>
      <c r="AG65" s="8"/>
      <c r="AH65" s="8"/>
      <c r="AI65" s="8"/>
      <c r="AJ65" s="7"/>
      <c r="AK65" s="183"/>
    </row>
    <row r="66" spans="1:37" ht="19.5">
      <c r="A66" s="7"/>
      <c r="B66" s="1366"/>
      <c r="C66" s="401" t="s">
        <v>2386</v>
      </c>
      <c r="D66" s="402" t="s">
        <v>1319</v>
      </c>
      <c r="E66" s="119" t="s">
        <v>2388</v>
      </c>
      <c r="F66" s="400" t="s">
        <v>2389</v>
      </c>
      <c r="G66" s="400">
        <v>0.6</v>
      </c>
      <c r="H66" s="7"/>
      <c r="I66" s="7"/>
      <c r="J66" s="8"/>
      <c r="K66" s="339" t="s">
        <v>2332</v>
      </c>
      <c r="L66" s="340">
        <v>-1</v>
      </c>
      <c r="M66" s="340">
        <v>1</v>
      </c>
      <c r="N66" s="340">
        <v>1</v>
      </c>
      <c r="O66" s="340"/>
      <c r="P66" s="341" t="s">
        <v>2333</v>
      </c>
      <c r="Q66" s="340"/>
      <c r="R66" s="340">
        <v>1</v>
      </c>
      <c r="S66" s="340"/>
      <c r="T66" s="341" t="s">
        <v>2531</v>
      </c>
      <c r="U66" s="340">
        <v>1</v>
      </c>
      <c r="V66" s="340">
        <v>1</v>
      </c>
      <c r="W66" s="340">
        <v>1</v>
      </c>
      <c r="X66" s="340">
        <v>1</v>
      </c>
      <c r="Y66" s="340"/>
      <c r="Z66" s="340">
        <v>1</v>
      </c>
      <c r="AA66" s="340">
        <v>1</v>
      </c>
      <c r="AB66" s="340"/>
      <c r="AC66" s="340"/>
      <c r="AD66" s="342"/>
      <c r="AE66" s="8"/>
      <c r="AF66" s="8"/>
      <c r="AG66" s="8"/>
      <c r="AH66" s="8"/>
      <c r="AI66" s="8"/>
      <c r="AJ66" s="7"/>
      <c r="AK66" s="183"/>
    </row>
    <row r="67" spans="1:37" ht="19.5">
      <c r="A67" s="7"/>
      <c r="B67" s="1366"/>
      <c r="C67" s="401" t="s">
        <v>2602</v>
      </c>
      <c r="D67" s="398" t="s">
        <v>2603</v>
      </c>
      <c r="E67" s="119" t="s">
        <v>2604</v>
      </c>
      <c r="F67" s="400" t="s">
        <v>2389</v>
      </c>
      <c r="G67" s="400">
        <v>0.4</v>
      </c>
      <c r="H67" s="7"/>
      <c r="I67" s="7"/>
      <c r="J67" s="8"/>
      <c r="K67" s="343" t="s">
        <v>2338</v>
      </c>
      <c r="L67" s="344"/>
      <c r="M67" s="345" t="s">
        <v>2574</v>
      </c>
      <c r="N67" s="344"/>
      <c r="O67" s="344">
        <v>1</v>
      </c>
      <c r="P67" s="344">
        <v>1</v>
      </c>
      <c r="Q67" s="344"/>
      <c r="R67" s="345" t="s">
        <v>2605</v>
      </c>
      <c r="S67" s="344"/>
      <c r="T67" s="344">
        <v>1</v>
      </c>
      <c r="U67" s="345" t="s">
        <v>2606</v>
      </c>
      <c r="V67" s="345" t="s">
        <v>2607</v>
      </c>
      <c r="W67" s="345" t="s">
        <v>2396</v>
      </c>
      <c r="X67" s="345" t="s">
        <v>2396</v>
      </c>
      <c r="Y67" s="344"/>
      <c r="Z67" s="344"/>
      <c r="AA67" s="345" t="s">
        <v>2396</v>
      </c>
      <c r="AB67" s="344"/>
      <c r="AC67" s="344"/>
      <c r="AD67" s="346"/>
      <c r="AE67" s="8"/>
      <c r="AF67" s="8"/>
      <c r="AG67" s="8"/>
      <c r="AH67" s="8"/>
      <c r="AI67" s="8"/>
      <c r="AJ67" s="7"/>
      <c r="AK67" s="183"/>
    </row>
    <row r="68" spans="1:37" ht="19.5">
      <c r="A68" s="7"/>
      <c r="B68" s="1366"/>
      <c r="C68" s="401" t="s">
        <v>1320</v>
      </c>
      <c r="D68" s="402" t="s">
        <v>1321</v>
      </c>
      <c r="E68" s="119" t="s">
        <v>2608</v>
      </c>
      <c r="F68" s="400" t="s">
        <v>1082</v>
      </c>
      <c r="G68" s="400">
        <v>0.2</v>
      </c>
      <c r="H68" s="7"/>
      <c r="I68" s="7" t="s">
        <v>2609</v>
      </c>
      <c r="J68" s="8"/>
      <c r="K68" s="347" t="s">
        <v>2540</v>
      </c>
      <c r="L68" s="344"/>
      <c r="M68" s="345" t="s">
        <v>2575</v>
      </c>
      <c r="N68" s="344"/>
      <c r="O68" s="344"/>
      <c r="P68" s="344"/>
      <c r="Q68" s="344">
        <v>1</v>
      </c>
      <c r="R68" s="345" t="s">
        <v>2610</v>
      </c>
      <c r="S68" s="344"/>
      <c r="T68" s="344"/>
      <c r="U68" s="345" t="s">
        <v>2611</v>
      </c>
      <c r="V68" s="345" t="s">
        <v>2612</v>
      </c>
      <c r="W68" s="345" t="s">
        <v>2613</v>
      </c>
      <c r="X68" s="345" t="s">
        <v>2613</v>
      </c>
      <c r="Y68" s="344">
        <v>1</v>
      </c>
      <c r="Z68" s="344"/>
      <c r="AA68" s="345" t="s">
        <v>2613</v>
      </c>
      <c r="AB68" s="344"/>
      <c r="AC68" s="344"/>
      <c r="AD68" s="348" t="s">
        <v>2545</v>
      </c>
      <c r="AE68" s="8"/>
      <c r="AF68" s="8"/>
      <c r="AG68" s="8"/>
      <c r="AH68" s="8"/>
      <c r="AI68" s="8"/>
      <c r="AJ68" s="7"/>
      <c r="AK68" s="183"/>
    </row>
    <row r="69" spans="1:37" ht="19.5">
      <c r="A69" s="7"/>
      <c r="B69" s="1366"/>
      <c r="C69" s="401" t="s">
        <v>1322</v>
      </c>
      <c r="D69" s="402" t="s">
        <v>1323</v>
      </c>
      <c r="E69" s="119" t="s">
        <v>2614</v>
      </c>
      <c r="F69" s="400" t="s">
        <v>1324</v>
      </c>
      <c r="G69" s="400">
        <v>0.5</v>
      </c>
      <c r="H69" s="7"/>
      <c r="I69" s="7"/>
      <c r="J69" s="8"/>
      <c r="K69" s="343" t="s">
        <v>2344</v>
      </c>
      <c r="L69" s="344"/>
      <c r="M69" s="344"/>
      <c r="N69" s="351" t="s">
        <v>2518</v>
      </c>
      <c r="O69" s="351" t="s">
        <v>2346</v>
      </c>
      <c r="P69" s="351" t="s">
        <v>2345</v>
      </c>
      <c r="Q69" s="351" t="s">
        <v>2528</v>
      </c>
      <c r="R69" s="344"/>
      <c r="S69" s="344">
        <v>-1</v>
      </c>
      <c r="T69" s="344"/>
      <c r="U69" s="344"/>
      <c r="V69" s="344"/>
      <c r="W69" s="344"/>
      <c r="X69" s="344"/>
      <c r="Y69" s="345" t="s">
        <v>2546</v>
      </c>
      <c r="Z69" s="344"/>
      <c r="AA69" s="344"/>
      <c r="AB69" s="344"/>
      <c r="AC69" s="344"/>
      <c r="AD69" s="346"/>
      <c r="AE69" s="8"/>
      <c r="AF69" s="8"/>
      <c r="AG69" s="8"/>
      <c r="AH69" s="8"/>
      <c r="AI69" s="8"/>
      <c r="AJ69" s="7"/>
      <c r="AK69" s="183"/>
    </row>
    <row r="70" spans="1:37" ht="39.75" thickBot="1">
      <c r="A70" s="7"/>
      <c r="B70" s="1366"/>
      <c r="C70" s="403" t="s">
        <v>1325</v>
      </c>
      <c r="D70" s="404" t="s">
        <v>2391</v>
      </c>
      <c r="E70" s="125" t="s">
        <v>2392</v>
      </c>
      <c r="F70" s="322" t="s">
        <v>1077</v>
      </c>
      <c r="G70" s="322">
        <v>6</v>
      </c>
      <c r="H70" s="7"/>
      <c r="I70" s="7"/>
      <c r="J70" s="8"/>
      <c r="K70" s="357" t="s">
        <v>2548</v>
      </c>
      <c r="L70" s="358"/>
      <c r="M70" s="358"/>
      <c r="N70" s="358"/>
      <c r="O70" s="358"/>
      <c r="P70" s="358"/>
      <c r="Q70" s="358"/>
      <c r="R70" s="358"/>
      <c r="S70" s="358"/>
      <c r="T70" s="358"/>
      <c r="U70" s="359" t="s">
        <v>2615</v>
      </c>
      <c r="V70" s="359" t="s">
        <v>2616</v>
      </c>
      <c r="W70" s="359" t="s">
        <v>2565</v>
      </c>
      <c r="X70" s="359" t="s">
        <v>2565</v>
      </c>
      <c r="Y70" s="359" t="s">
        <v>2617</v>
      </c>
      <c r="Z70" s="359" t="s">
        <v>2618</v>
      </c>
      <c r="AA70" s="359" t="s">
        <v>2565</v>
      </c>
      <c r="AB70" s="358">
        <v>-1</v>
      </c>
      <c r="AC70" s="358">
        <v>1</v>
      </c>
      <c r="AD70" s="360">
        <v>1</v>
      </c>
      <c r="AE70" s="8"/>
      <c r="AF70" s="8"/>
      <c r="AG70" s="8"/>
      <c r="AH70" s="8"/>
      <c r="AI70" s="8"/>
      <c r="AJ70" s="7"/>
      <c r="AK70" s="183"/>
    </row>
    <row r="71" spans="1:37" ht="19.5">
      <c r="A71" s="7"/>
      <c r="B71" s="1366"/>
      <c r="C71" s="403" t="s">
        <v>1326</v>
      </c>
      <c r="D71" s="405" t="s">
        <v>1327</v>
      </c>
      <c r="E71" s="125" t="s">
        <v>2395</v>
      </c>
      <c r="F71" s="322" t="s">
        <v>2389</v>
      </c>
      <c r="G71" s="322">
        <v>0.8</v>
      </c>
      <c r="H71" s="7"/>
      <c r="I71" s="7"/>
      <c r="J71" s="9"/>
      <c r="K71" s="9"/>
      <c r="L71" s="9"/>
      <c r="M71" s="9"/>
      <c r="N71" s="9"/>
      <c r="O71" s="9"/>
      <c r="P71" s="9"/>
      <c r="Q71" s="9"/>
      <c r="R71" s="9"/>
      <c r="S71" s="9"/>
      <c r="T71" s="9"/>
      <c r="U71" s="9"/>
      <c r="V71" s="9"/>
      <c r="W71" s="9"/>
      <c r="X71" s="9"/>
      <c r="Y71" s="9"/>
      <c r="Z71" s="9"/>
      <c r="AA71" s="9"/>
      <c r="AB71" s="9"/>
      <c r="AC71" s="9"/>
      <c r="AD71" s="9"/>
      <c r="AE71" s="9"/>
      <c r="AF71" s="9"/>
      <c r="AG71" s="9"/>
      <c r="AH71" s="9"/>
      <c r="AI71" s="9"/>
      <c r="AJ71" s="248"/>
      <c r="AK71" s="248"/>
    </row>
    <row r="72" spans="1:37" ht="20.25" thickBot="1">
      <c r="A72" s="7"/>
      <c r="B72" s="1366"/>
      <c r="C72" s="406" t="s">
        <v>2619</v>
      </c>
      <c r="D72" s="407" t="s">
        <v>2620</v>
      </c>
      <c r="E72" s="133" t="s">
        <v>2621</v>
      </c>
      <c r="F72" s="408" t="s">
        <v>1328</v>
      </c>
      <c r="G72" s="408">
        <v>3</v>
      </c>
      <c r="H72" s="7"/>
      <c r="I72" s="7"/>
      <c r="J72" s="8"/>
      <c r="K72" s="8"/>
      <c r="L72" s="8"/>
      <c r="M72" s="8"/>
      <c r="N72" s="8"/>
      <c r="O72" s="8"/>
      <c r="P72" s="8"/>
      <c r="Q72" s="8"/>
      <c r="R72" s="8"/>
      <c r="S72" s="8"/>
      <c r="T72" s="8"/>
      <c r="U72" s="8"/>
      <c r="V72" s="8"/>
      <c r="W72" s="8"/>
      <c r="X72" s="9"/>
      <c r="Y72" s="9"/>
      <c r="Z72" s="9"/>
      <c r="AA72" s="9"/>
      <c r="AB72" s="9"/>
      <c r="AC72" s="9"/>
      <c r="AD72" s="9"/>
      <c r="AE72" s="9"/>
      <c r="AF72" s="9"/>
      <c r="AG72" s="9"/>
      <c r="AH72" s="9"/>
      <c r="AI72" s="9"/>
      <c r="AJ72" s="248"/>
      <c r="AK72" s="248"/>
    </row>
    <row r="73" spans="1:37" ht="30.75" thickBot="1">
      <c r="A73" s="7"/>
      <c r="B73" s="1366"/>
      <c r="C73" s="403" t="s">
        <v>1329</v>
      </c>
      <c r="D73" s="404" t="s">
        <v>2622</v>
      </c>
      <c r="E73" s="125" t="s">
        <v>2623</v>
      </c>
      <c r="F73" s="322" t="s">
        <v>1330</v>
      </c>
      <c r="G73" s="322">
        <v>4</v>
      </c>
      <c r="H73" s="7"/>
      <c r="I73" s="7"/>
      <c r="J73" s="1331" t="s">
        <v>2406</v>
      </c>
      <c r="K73" s="1332"/>
      <c r="L73" s="1332"/>
      <c r="M73" s="1332"/>
      <c r="N73" s="1332"/>
      <c r="O73" s="1332"/>
      <c r="P73" s="1332"/>
      <c r="Q73" s="1332"/>
      <c r="R73" s="1332"/>
      <c r="S73" s="1332"/>
      <c r="T73" s="1332"/>
      <c r="U73" s="1332"/>
      <c r="V73" s="1332"/>
      <c r="W73" s="1332"/>
      <c r="X73" s="1332"/>
      <c r="Y73" s="1332"/>
      <c r="Z73" s="1332"/>
      <c r="AA73" s="1332"/>
      <c r="AB73" s="1332"/>
      <c r="AC73" s="1332"/>
      <c r="AD73" s="1332"/>
      <c r="AE73" s="1332"/>
      <c r="AF73" s="1332"/>
      <c r="AG73" s="1332"/>
      <c r="AH73" s="1332"/>
      <c r="AI73" s="1332"/>
      <c r="AJ73" s="1333"/>
      <c r="AK73" s="248"/>
    </row>
    <row r="74" spans="1:37" ht="19.5">
      <c r="A74" s="7"/>
      <c r="B74" s="1366"/>
      <c r="C74" s="403" t="s">
        <v>1331</v>
      </c>
      <c r="D74" s="405" t="s">
        <v>1332</v>
      </c>
      <c r="E74" s="125" t="s">
        <v>2624</v>
      </c>
      <c r="F74" s="322" t="s">
        <v>1333</v>
      </c>
      <c r="G74" s="322">
        <v>4</v>
      </c>
      <c r="H74" s="7"/>
      <c r="I74" s="7"/>
      <c r="J74" s="8"/>
      <c r="K74" s="8"/>
      <c r="L74" s="8"/>
      <c r="M74" s="8"/>
      <c r="N74" s="8"/>
      <c r="O74" s="8"/>
      <c r="P74" s="8"/>
      <c r="Q74" s="8"/>
      <c r="R74" s="8"/>
      <c r="S74" s="8"/>
      <c r="T74" s="8"/>
      <c r="U74" s="8"/>
      <c r="V74" s="8"/>
      <c r="W74" s="8"/>
      <c r="X74" s="9"/>
      <c r="Y74" s="9"/>
      <c r="Z74" s="9"/>
      <c r="AA74" s="9"/>
      <c r="AB74" s="9"/>
      <c r="AC74" s="9"/>
      <c r="AD74" s="9"/>
      <c r="AE74" s="9"/>
      <c r="AF74" s="9"/>
      <c r="AG74" s="9"/>
      <c r="AH74" s="9"/>
      <c r="AI74" s="9"/>
      <c r="AJ74" s="248"/>
      <c r="AK74" s="248"/>
    </row>
    <row r="75" spans="1:37" ht="20.25" thickBot="1">
      <c r="A75" s="7"/>
      <c r="B75" s="1366"/>
      <c r="C75" s="406" t="s">
        <v>1080</v>
      </c>
      <c r="D75" s="404" t="s">
        <v>2400</v>
      </c>
      <c r="E75" s="133" t="s">
        <v>2401</v>
      </c>
      <c r="F75" s="408" t="s">
        <v>1077</v>
      </c>
      <c r="G75" s="408">
        <v>0.4</v>
      </c>
      <c r="H75" s="7"/>
      <c r="I75" s="7"/>
      <c r="J75" s="8"/>
      <c r="K75" s="8"/>
      <c r="L75" s="8"/>
      <c r="M75" s="8"/>
      <c r="N75" s="8"/>
      <c r="O75" s="184"/>
      <c r="P75" s="184"/>
      <c r="Q75" s="184"/>
      <c r="R75" s="184"/>
      <c r="S75" s="184"/>
      <c r="T75" s="184"/>
      <c r="U75" s="184"/>
      <c r="V75" s="184"/>
      <c r="W75" s="184"/>
      <c r="X75" s="249"/>
      <c r="Y75" s="249"/>
      <c r="Z75" s="249"/>
      <c r="AA75" s="249"/>
      <c r="AB75" s="249"/>
      <c r="AC75" s="249"/>
      <c r="AD75" s="9"/>
      <c r="AE75" s="9"/>
      <c r="AF75" s="1371" t="s">
        <v>2328</v>
      </c>
      <c r="AG75" s="1371"/>
      <c r="AH75" s="1371"/>
      <c r="AI75" s="1371"/>
      <c r="AJ75" s="1371"/>
      <c r="AK75" s="248"/>
    </row>
    <row r="76" spans="1:37" ht="20.25" thickBot="1">
      <c r="A76" s="7"/>
      <c r="B76" s="1366"/>
      <c r="C76" s="403" t="s">
        <v>1334</v>
      </c>
      <c r="D76" s="404" t="s">
        <v>2625</v>
      </c>
      <c r="E76" s="125" t="s">
        <v>2625</v>
      </c>
      <c r="F76" s="322" t="s">
        <v>1330</v>
      </c>
      <c r="G76" s="322">
        <v>4</v>
      </c>
      <c r="H76" s="7"/>
      <c r="I76" s="7"/>
      <c r="J76" s="409"/>
      <c r="K76" s="409"/>
      <c r="L76" s="409"/>
      <c r="M76" s="409"/>
      <c r="N76" s="409"/>
      <c r="O76" s="176"/>
      <c r="P76" s="410"/>
      <c r="Q76" s="176"/>
      <c r="R76" s="176"/>
      <c r="S76" s="410"/>
      <c r="T76" s="176"/>
      <c r="U76" s="176"/>
      <c r="V76" s="410"/>
      <c r="W76" s="176"/>
      <c r="X76" s="176"/>
      <c r="Y76" s="410"/>
      <c r="Z76" s="411"/>
      <c r="AA76" s="176"/>
      <c r="AB76" s="410"/>
      <c r="AC76" s="176"/>
      <c r="AD76" s="412"/>
      <c r="AE76" s="413"/>
      <c r="AF76" s="414" t="s">
        <v>2332</v>
      </c>
      <c r="AG76" s="414" t="s">
        <v>2338</v>
      </c>
      <c r="AH76" s="414" t="s">
        <v>2540</v>
      </c>
      <c r="AI76" s="414" t="s">
        <v>2344</v>
      </c>
      <c r="AJ76" s="414" t="s">
        <v>2548</v>
      </c>
      <c r="AK76" s="248"/>
    </row>
    <row r="77" spans="1:37" ht="19.5">
      <c r="A77" s="7"/>
      <c r="B77" s="1366"/>
      <c r="C77" s="415" t="s">
        <v>1081</v>
      </c>
      <c r="D77" s="405" t="s">
        <v>1335</v>
      </c>
      <c r="E77" s="125" t="s">
        <v>2403</v>
      </c>
      <c r="F77" s="322" t="s">
        <v>1082</v>
      </c>
      <c r="G77" s="322">
        <v>0.2</v>
      </c>
      <c r="H77" s="7"/>
      <c r="I77" s="7"/>
      <c r="J77" s="155"/>
      <c r="K77" s="155"/>
      <c r="L77" s="155"/>
      <c r="M77" s="155"/>
      <c r="N77" s="155"/>
      <c r="O77" s="176"/>
      <c r="P77" s="410"/>
      <c r="Q77" s="176"/>
      <c r="R77" s="176"/>
      <c r="S77" s="410"/>
      <c r="T77" s="176"/>
      <c r="U77" s="176"/>
      <c r="V77" s="410"/>
      <c r="W77" s="176"/>
      <c r="X77" s="176"/>
      <c r="Y77" s="410"/>
      <c r="Z77" s="411"/>
      <c r="AA77" s="176"/>
      <c r="AB77" s="410"/>
      <c r="AC77" s="176"/>
      <c r="AD77" s="156"/>
      <c r="AE77" s="416" t="s">
        <v>2626</v>
      </c>
      <c r="AF77" s="417" t="s">
        <v>2488</v>
      </c>
      <c r="AG77" s="417"/>
      <c r="AH77" s="417"/>
      <c r="AI77" s="417"/>
      <c r="AJ77" s="417"/>
      <c r="AK77" s="248"/>
    </row>
    <row r="78" spans="1:37" ht="19.5">
      <c r="A78" s="7"/>
      <c r="B78" s="1366"/>
      <c r="C78" s="415" t="s">
        <v>1083</v>
      </c>
      <c r="D78" s="418" t="s">
        <v>1336</v>
      </c>
      <c r="E78" s="82" t="s">
        <v>2405</v>
      </c>
      <c r="F78" s="322" t="s">
        <v>1084</v>
      </c>
      <c r="G78" s="419">
        <v>0.5</v>
      </c>
      <c r="H78" s="7"/>
      <c r="I78" s="7"/>
      <c r="J78" s="155"/>
      <c r="K78" s="155"/>
      <c r="L78" s="155"/>
      <c r="M78" s="155"/>
      <c r="N78" s="155"/>
      <c r="O78" s="176"/>
      <c r="P78" s="410"/>
      <c r="Q78" s="176"/>
      <c r="R78" s="176"/>
      <c r="S78" s="410"/>
      <c r="T78" s="176"/>
      <c r="U78" s="176"/>
      <c r="V78" s="410"/>
      <c r="W78" s="176"/>
      <c r="X78" s="176"/>
      <c r="Y78" s="410"/>
      <c r="Z78" s="411"/>
      <c r="AA78" s="176"/>
      <c r="AB78" s="410"/>
      <c r="AC78" s="176"/>
      <c r="AD78" s="156"/>
      <c r="AE78" s="420" t="s">
        <v>2627</v>
      </c>
      <c r="AF78" s="421" t="s">
        <v>2467</v>
      </c>
      <c r="AG78" s="421">
        <f>ASM2d_i_N.SF</f>
        <v>0.03</v>
      </c>
      <c r="AH78" s="421">
        <f>ASM2d_i_P.SF</f>
        <v>0.01</v>
      </c>
      <c r="AI78" s="421"/>
      <c r="AJ78" s="421"/>
      <c r="AK78" s="248"/>
    </row>
    <row r="79" spans="1:37" ht="19.5">
      <c r="A79" s="7"/>
      <c r="B79" s="1366"/>
      <c r="C79" s="415" t="s">
        <v>1091</v>
      </c>
      <c r="D79" s="405" t="s">
        <v>1337</v>
      </c>
      <c r="E79" s="125" t="s">
        <v>2628</v>
      </c>
      <c r="F79" s="322" t="s">
        <v>1092</v>
      </c>
      <c r="G79" s="322">
        <v>0.05</v>
      </c>
      <c r="H79" s="7"/>
      <c r="I79" s="7"/>
      <c r="J79" s="155"/>
      <c r="K79" s="155"/>
      <c r="L79" s="155"/>
      <c r="M79" s="155"/>
      <c r="N79" s="155"/>
      <c r="O79" s="176"/>
      <c r="P79" s="410"/>
      <c r="Q79" s="411"/>
      <c r="R79" s="176"/>
      <c r="S79" s="410"/>
      <c r="T79" s="411"/>
      <c r="U79" s="176"/>
      <c r="V79" s="410"/>
      <c r="W79" s="411"/>
      <c r="X79" s="176"/>
      <c r="Y79" s="410"/>
      <c r="Z79" s="411"/>
      <c r="AA79" s="176"/>
      <c r="AB79" s="410"/>
      <c r="AC79" s="176"/>
      <c r="AD79" s="156"/>
      <c r="AE79" s="420" t="s">
        <v>2629</v>
      </c>
      <c r="AF79" s="421" t="s">
        <v>2467</v>
      </c>
      <c r="AG79" s="421"/>
      <c r="AH79" s="421"/>
      <c r="AI79" s="422">
        <f>ASM2d_i_Charge_Ac</f>
        <v>-0.015625</v>
      </c>
      <c r="AJ79" s="421"/>
      <c r="AK79" s="248"/>
    </row>
    <row r="80" spans="1:37" ht="19.5">
      <c r="A80" s="7"/>
      <c r="B80" s="1366"/>
      <c r="C80" s="415" t="s">
        <v>1338</v>
      </c>
      <c r="D80" s="405" t="s">
        <v>1339</v>
      </c>
      <c r="E80" s="125" t="s">
        <v>2630</v>
      </c>
      <c r="F80" s="322" t="s">
        <v>1340</v>
      </c>
      <c r="G80" s="322">
        <v>0.01</v>
      </c>
      <c r="H80" s="7"/>
      <c r="I80" s="7"/>
      <c r="J80" s="155"/>
      <c r="K80" s="155"/>
      <c r="L80" s="155"/>
      <c r="M80" s="155"/>
      <c r="N80" s="155"/>
      <c r="O80" s="176"/>
      <c r="P80" s="410"/>
      <c r="Q80" s="176"/>
      <c r="R80" s="176"/>
      <c r="S80" s="410"/>
      <c r="T80" s="176"/>
      <c r="U80" s="176"/>
      <c r="V80" s="410"/>
      <c r="W80" s="176"/>
      <c r="X80" s="176"/>
      <c r="Y80" s="410"/>
      <c r="Z80" s="411"/>
      <c r="AA80" s="176"/>
      <c r="AB80" s="410"/>
      <c r="AC80" s="176"/>
      <c r="AD80" s="156"/>
      <c r="AE80" s="420" t="s">
        <v>2631</v>
      </c>
      <c r="AF80" s="421"/>
      <c r="AG80" s="421">
        <v>1</v>
      </c>
      <c r="AH80" s="421"/>
      <c r="AI80" s="422">
        <f>ASM2d_i_Charge_NHx</f>
        <v>0.07142857142857142</v>
      </c>
      <c r="AJ80" s="421"/>
      <c r="AK80" s="248"/>
    </row>
    <row r="81" spans="1:37" ht="19.5">
      <c r="A81" s="7"/>
      <c r="B81" s="1366"/>
      <c r="C81" s="415" t="s">
        <v>1341</v>
      </c>
      <c r="D81" s="405" t="s">
        <v>1342</v>
      </c>
      <c r="E81" s="125" t="s">
        <v>2632</v>
      </c>
      <c r="F81" s="322" t="s">
        <v>1343</v>
      </c>
      <c r="G81" s="322">
        <v>0.1</v>
      </c>
      <c r="H81" s="7"/>
      <c r="I81" s="7"/>
      <c r="J81" s="155"/>
      <c r="K81" s="155"/>
      <c r="L81" s="155"/>
      <c r="M81" s="155"/>
      <c r="N81" s="155"/>
      <c r="O81" s="176"/>
      <c r="P81" s="410"/>
      <c r="Q81" s="411"/>
      <c r="R81" s="176"/>
      <c r="S81" s="410"/>
      <c r="T81" s="411"/>
      <c r="U81" s="176"/>
      <c r="V81" s="410"/>
      <c r="W81" s="411"/>
      <c r="X81" s="176"/>
      <c r="Y81" s="410"/>
      <c r="Z81" s="411"/>
      <c r="AA81" s="176"/>
      <c r="AB81" s="410"/>
      <c r="AC81" s="176"/>
      <c r="AD81" s="156"/>
      <c r="AE81" s="420" t="s">
        <v>2633</v>
      </c>
      <c r="AF81" s="422">
        <f>ASM2d_i_COD_NOx</f>
        <v>-4.571428571428571</v>
      </c>
      <c r="AG81" s="421">
        <v>1</v>
      </c>
      <c r="AH81" s="421"/>
      <c r="AI81" s="422">
        <f>ASM2d_i_Charge_NOx</f>
        <v>-0.07142857142857142</v>
      </c>
      <c r="AJ81" s="421"/>
      <c r="AK81" s="248"/>
    </row>
    <row r="82" spans="1:37" ht="19.5">
      <c r="A82" s="7"/>
      <c r="B82" s="1366"/>
      <c r="C82" s="423" t="s">
        <v>1344</v>
      </c>
      <c r="D82" s="424" t="s">
        <v>2634</v>
      </c>
      <c r="E82" s="425" t="s">
        <v>2635</v>
      </c>
      <c r="F82" s="426" t="s">
        <v>1345</v>
      </c>
      <c r="G82" s="426">
        <v>3</v>
      </c>
      <c r="H82" s="7"/>
      <c r="I82" s="7"/>
      <c r="J82" s="155"/>
      <c r="K82" s="155"/>
      <c r="L82" s="155"/>
      <c r="M82" s="155"/>
      <c r="N82" s="155"/>
      <c r="O82" s="176"/>
      <c r="P82" s="410"/>
      <c r="Q82" s="176"/>
      <c r="R82" s="176"/>
      <c r="S82" s="410"/>
      <c r="T82" s="176"/>
      <c r="U82" s="176"/>
      <c r="V82" s="410"/>
      <c r="W82" s="176"/>
      <c r="X82" s="176"/>
      <c r="Y82" s="410"/>
      <c r="Z82" s="411"/>
      <c r="AA82" s="176"/>
      <c r="AB82" s="410"/>
      <c r="AC82" s="176"/>
      <c r="AD82" s="156"/>
      <c r="AE82" s="420" t="s">
        <v>2636</v>
      </c>
      <c r="AF82" s="421"/>
      <c r="AG82" s="421"/>
      <c r="AH82" s="421">
        <v>1</v>
      </c>
      <c r="AI82" s="422">
        <f>ASM2d_i_Charge_PO4</f>
        <v>-0.04838709677419355</v>
      </c>
      <c r="AJ82" s="421"/>
      <c r="AK82" s="248"/>
    </row>
    <row r="83" spans="1:37" ht="19.5">
      <c r="A83" s="7"/>
      <c r="B83" s="1366"/>
      <c r="C83" s="427" t="s">
        <v>1346</v>
      </c>
      <c r="D83" s="428" t="s">
        <v>2637</v>
      </c>
      <c r="E83" s="337" t="s">
        <v>2638</v>
      </c>
      <c r="F83" s="426" t="s">
        <v>1347</v>
      </c>
      <c r="G83" s="338">
        <v>1.5</v>
      </c>
      <c r="H83" s="7"/>
      <c r="I83" s="7"/>
      <c r="J83" s="155"/>
      <c r="K83" s="155"/>
      <c r="L83" s="155"/>
      <c r="M83" s="155"/>
      <c r="N83" s="155"/>
      <c r="O83" s="176"/>
      <c r="P83" s="410"/>
      <c r="Q83" s="176"/>
      <c r="R83" s="176"/>
      <c r="S83" s="410"/>
      <c r="T83" s="176"/>
      <c r="U83" s="176"/>
      <c r="V83" s="410"/>
      <c r="W83" s="176"/>
      <c r="X83" s="176"/>
      <c r="Y83" s="410"/>
      <c r="Z83" s="411"/>
      <c r="AA83" s="176"/>
      <c r="AB83" s="410"/>
      <c r="AC83" s="176"/>
      <c r="AD83" s="156"/>
      <c r="AE83" s="420" t="s">
        <v>2432</v>
      </c>
      <c r="AF83" s="421">
        <v>1</v>
      </c>
      <c r="AG83" s="421">
        <f>ASM2d_i_N.SI</f>
        <v>0.01</v>
      </c>
      <c r="AH83" s="429">
        <f>ASM2d_i_P.SI</f>
        <v>0</v>
      </c>
      <c r="AI83" s="421"/>
      <c r="AJ83" s="421"/>
      <c r="AK83" s="248"/>
    </row>
    <row r="84" spans="1:37" ht="19.5">
      <c r="A84" s="7"/>
      <c r="B84" s="1366"/>
      <c r="C84" s="423" t="s">
        <v>1348</v>
      </c>
      <c r="D84" s="424" t="s">
        <v>2639</v>
      </c>
      <c r="E84" s="425" t="s">
        <v>2640</v>
      </c>
      <c r="F84" s="426" t="s">
        <v>1349</v>
      </c>
      <c r="G84" s="426">
        <v>0.01</v>
      </c>
      <c r="H84" s="7"/>
      <c r="I84" s="7"/>
      <c r="J84" s="155"/>
      <c r="K84" s="155"/>
      <c r="L84" s="155"/>
      <c r="M84" s="155"/>
      <c r="N84" s="155"/>
      <c r="O84" s="176"/>
      <c r="P84" s="410"/>
      <c r="Q84" s="176"/>
      <c r="R84" s="176"/>
      <c r="S84" s="410"/>
      <c r="T84" s="176"/>
      <c r="U84" s="176"/>
      <c r="V84" s="410"/>
      <c r="W84" s="176"/>
      <c r="X84" s="176"/>
      <c r="Y84" s="410"/>
      <c r="Z84" s="411"/>
      <c r="AA84" s="176"/>
      <c r="AB84" s="410"/>
      <c r="AC84" s="176"/>
      <c r="AD84" s="156"/>
      <c r="AE84" s="420" t="s">
        <v>2444</v>
      </c>
      <c r="AF84" s="421"/>
      <c r="AG84" s="421"/>
      <c r="AH84" s="421"/>
      <c r="AI84" s="421">
        <v>-1</v>
      </c>
      <c r="AJ84" s="421"/>
      <c r="AK84" s="248"/>
    </row>
    <row r="85" spans="1:37" ht="19.5">
      <c r="A85" s="7"/>
      <c r="B85" s="1366"/>
      <c r="C85" s="423" t="s">
        <v>1350</v>
      </c>
      <c r="D85" s="424" t="s">
        <v>2641</v>
      </c>
      <c r="E85" s="425" t="s">
        <v>2642</v>
      </c>
      <c r="F85" s="426" t="s">
        <v>1349</v>
      </c>
      <c r="G85" s="426">
        <v>0.34</v>
      </c>
      <c r="H85" s="7"/>
      <c r="I85" s="7"/>
      <c r="J85" s="155"/>
      <c r="K85" s="155"/>
      <c r="L85" s="155"/>
      <c r="M85" s="155"/>
      <c r="N85" s="155"/>
      <c r="O85" s="176"/>
      <c r="P85" s="410"/>
      <c r="Q85" s="176"/>
      <c r="R85" s="176"/>
      <c r="S85" s="410"/>
      <c r="T85" s="176"/>
      <c r="U85" s="176"/>
      <c r="V85" s="410"/>
      <c r="W85" s="176"/>
      <c r="X85" s="176"/>
      <c r="Y85" s="410"/>
      <c r="Z85" s="411"/>
      <c r="AA85" s="176"/>
      <c r="AB85" s="410"/>
      <c r="AC85" s="176"/>
      <c r="AD85" s="156"/>
      <c r="AE85" s="420" t="s">
        <v>2445</v>
      </c>
      <c r="AF85" s="422">
        <f>ASM2d_i_COD_N2</f>
        <v>-1.7142857142857142</v>
      </c>
      <c r="AG85" s="421">
        <v>1</v>
      </c>
      <c r="AH85" s="421"/>
      <c r="AI85" s="421"/>
      <c r="AJ85" s="421"/>
      <c r="AK85" s="248"/>
    </row>
    <row r="86" spans="1:37" ht="19.5">
      <c r="A86" s="7"/>
      <c r="B86" s="1366"/>
      <c r="C86" s="423" t="s">
        <v>1351</v>
      </c>
      <c r="D86" s="424" t="s">
        <v>2643</v>
      </c>
      <c r="E86" s="425" t="s">
        <v>2644</v>
      </c>
      <c r="F86" s="426" t="s">
        <v>1349</v>
      </c>
      <c r="G86" s="426">
        <v>0.02</v>
      </c>
      <c r="H86" s="7"/>
      <c r="I86" s="7"/>
      <c r="J86" s="155"/>
      <c r="K86" s="155"/>
      <c r="L86" s="155"/>
      <c r="M86" s="155"/>
      <c r="N86" s="155"/>
      <c r="O86" s="176"/>
      <c r="P86" s="410"/>
      <c r="Q86" s="176"/>
      <c r="R86" s="176"/>
      <c r="S86" s="410"/>
      <c r="T86" s="176"/>
      <c r="U86" s="176"/>
      <c r="V86" s="410"/>
      <c r="W86" s="176"/>
      <c r="X86" s="176"/>
      <c r="Y86" s="410"/>
      <c r="Z86" s="411"/>
      <c r="AA86" s="176"/>
      <c r="AB86" s="410"/>
      <c r="AC86" s="176"/>
      <c r="AD86" s="156"/>
      <c r="AE86" s="420" t="s">
        <v>2434</v>
      </c>
      <c r="AF86" s="421">
        <v>1</v>
      </c>
      <c r="AG86" s="421">
        <f>ASM2d_i_N.XI</f>
        <v>0.02</v>
      </c>
      <c r="AH86" s="421">
        <f>ASM2d_i_P.XI</f>
        <v>0.01</v>
      </c>
      <c r="AI86" s="421"/>
      <c r="AJ86" s="421">
        <f>ASM2d_i_TSS.XI</f>
        <v>0.75</v>
      </c>
      <c r="AK86" s="248"/>
    </row>
    <row r="87" spans="1:37" ht="19.5">
      <c r="A87" s="7"/>
      <c r="B87" s="1366"/>
      <c r="C87" s="427" t="s">
        <v>1352</v>
      </c>
      <c r="D87" s="428" t="s">
        <v>2645</v>
      </c>
      <c r="E87" s="337" t="s">
        <v>2646</v>
      </c>
      <c r="F87" s="338" t="s">
        <v>1077</v>
      </c>
      <c r="G87" s="338">
        <v>1</v>
      </c>
      <c r="H87" s="7"/>
      <c r="I87" s="7"/>
      <c r="J87" s="155"/>
      <c r="K87" s="155"/>
      <c r="L87" s="155"/>
      <c r="M87" s="155"/>
      <c r="N87" s="155"/>
      <c r="O87" s="176"/>
      <c r="P87" s="410"/>
      <c r="Q87" s="176"/>
      <c r="R87" s="176"/>
      <c r="S87" s="410"/>
      <c r="T87" s="176"/>
      <c r="U87" s="176"/>
      <c r="V87" s="410"/>
      <c r="W87" s="176"/>
      <c r="X87" s="176"/>
      <c r="Y87" s="410"/>
      <c r="Z87" s="411"/>
      <c r="AA87" s="176"/>
      <c r="AB87" s="410"/>
      <c r="AC87" s="176"/>
      <c r="AD87" s="156"/>
      <c r="AE87" s="420" t="s">
        <v>2435</v>
      </c>
      <c r="AF87" s="421">
        <v>1</v>
      </c>
      <c r="AG87" s="421">
        <f>ASM2d_i_N.XS</f>
        <v>0.04</v>
      </c>
      <c r="AH87" s="421">
        <f>ASM2d_i_P.XS</f>
        <v>0.01</v>
      </c>
      <c r="AI87" s="421"/>
      <c r="AJ87" s="421">
        <f>ASM2d_i_TSS.XS</f>
        <v>0.75</v>
      </c>
      <c r="AK87" s="248"/>
    </row>
    <row r="88" spans="1:37" ht="19.5">
      <c r="A88" s="7"/>
      <c r="B88" s="1366"/>
      <c r="C88" s="427" t="s">
        <v>1353</v>
      </c>
      <c r="D88" s="430" t="s">
        <v>1354</v>
      </c>
      <c r="E88" s="337" t="s">
        <v>2647</v>
      </c>
      <c r="F88" s="338" t="s">
        <v>2389</v>
      </c>
      <c r="G88" s="338">
        <v>0.6</v>
      </c>
      <c r="H88" s="7"/>
      <c r="I88" s="7"/>
      <c r="J88" s="155"/>
      <c r="K88" s="155"/>
      <c r="L88" s="155"/>
      <c r="M88" s="155"/>
      <c r="N88" s="155"/>
      <c r="O88" s="176"/>
      <c r="P88" s="410"/>
      <c r="Q88" s="176"/>
      <c r="R88" s="176"/>
      <c r="S88" s="410"/>
      <c r="T88" s="176"/>
      <c r="U88" s="176"/>
      <c r="V88" s="410"/>
      <c r="W88" s="176"/>
      <c r="X88" s="176"/>
      <c r="Y88" s="410"/>
      <c r="Z88" s="411"/>
      <c r="AA88" s="176"/>
      <c r="AB88" s="410"/>
      <c r="AC88" s="411"/>
      <c r="AD88" s="156"/>
      <c r="AE88" s="420" t="s">
        <v>2648</v>
      </c>
      <c r="AF88" s="421">
        <v>1</v>
      </c>
      <c r="AG88" s="421">
        <f>ASM2d_i_N.BM</f>
        <v>0.07</v>
      </c>
      <c r="AH88" s="421">
        <f>ASM2d_i_P.BM</f>
        <v>0.02</v>
      </c>
      <c r="AI88" s="421"/>
      <c r="AJ88" s="421">
        <f>ASM2d_i_TSS.BM</f>
        <v>0.9</v>
      </c>
      <c r="AK88" s="248"/>
    </row>
    <row r="89" spans="1:37" ht="19.5">
      <c r="A89" s="7"/>
      <c r="B89" s="1366"/>
      <c r="C89" s="423" t="s">
        <v>1355</v>
      </c>
      <c r="D89" s="424" t="s">
        <v>2649</v>
      </c>
      <c r="E89" s="425" t="s">
        <v>2650</v>
      </c>
      <c r="F89" s="426" t="s">
        <v>1356</v>
      </c>
      <c r="G89" s="426">
        <v>0.01</v>
      </c>
      <c r="H89" s="7"/>
      <c r="I89" s="7"/>
      <c r="J89" s="155"/>
      <c r="K89" s="155"/>
      <c r="L89" s="155"/>
      <c r="M89" s="155"/>
      <c r="N89" s="155"/>
      <c r="O89" s="176"/>
      <c r="P89" s="410"/>
      <c r="Q89" s="176"/>
      <c r="R89" s="176"/>
      <c r="S89" s="410"/>
      <c r="T89" s="176"/>
      <c r="U89" s="176"/>
      <c r="V89" s="410"/>
      <c r="W89" s="176"/>
      <c r="X89" s="176"/>
      <c r="Y89" s="410"/>
      <c r="Z89" s="411"/>
      <c r="AA89" s="176"/>
      <c r="AB89" s="410"/>
      <c r="AC89" s="411"/>
      <c r="AD89" s="156"/>
      <c r="AE89" s="420" t="s">
        <v>2651</v>
      </c>
      <c r="AF89" s="421">
        <v>1</v>
      </c>
      <c r="AG89" s="421">
        <f>ASM2d_i_N.BM</f>
        <v>0.07</v>
      </c>
      <c r="AH89" s="421">
        <f>ASM2d_i_P.BM</f>
        <v>0.02</v>
      </c>
      <c r="AI89" s="421"/>
      <c r="AJ89" s="421">
        <f>ASM2d_i_TSS.BM</f>
        <v>0.9</v>
      </c>
      <c r="AK89" s="248"/>
    </row>
    <row r="90" spans="1:37" ht="19.5">
      <c r="A90" s="7"/>
      <c r="B90" s="1366"/>
      <c r="C90" s="431" t="s">
        <v>1357</v>
      </c>
      <c r="D90" s="432" t="s">
        <v>2652</v>
      </c>
      <c r="E90" s="433" t="s">
        <v>2653</v>
      </c>
      <c r="F90" s="434" t="s">
        <v>1077</v>
      </c>
      <c r="G90" s="434">
        <v>0.2</v>
      </c>
      <c r="H90" s="7"/>
      <c r="I90" s="7"/>
      <c r="J90" s="155"/>
      <c r="K90" s="155"/>
      <c r="L90" s="155"/>
      <c r="M90" s="155"/>
      <c r="N90" s="155"/>
      <c r="O90" s="176"/>
      <c r="P90" s="410"/>
      <c r="Q90" s="176"/>
      <c r="R90" s="176"/>
      <c r="S90" s="410"/>
      <c r="T90" s="176"/>
      <c r="U90" s="176"/>
      <c r="V90" s="410"/>
      <c r="W90" s="176"/>
      <c r="X90" s="176"/>
      <c r="Y90" s="410"/>
      <c r="Z90" s="411"/>
      <c r="AA90" s="176"/>
      <c r="AB90" s="410"/>
      <c r="AC90" s="176"/>
      <c r="AD90" s="156"/>
      <c r="AE90" s="420" t="s">
        <v>2654</v>
      </c>
      <c r="AF90" s="421"/>
      <c r="AG90" s="421"/>
      <c r="AH90" s="421">
        <v>1</v>
      </c>
      <c r="AI90" s="422">
        <f>ASM2d_i_Charge_XPAO.PP</f>
        <v>-0.03225806451612903</v>
      </c>
      <c r="AJ90" s="421">
        <f>ASM2d_i_TSS.XPP</f>
        <v>3.23</v>
      </c>
      <c r="AK90" s="248"/>
    </row>
    <row r="91" spans="1:37" ht="19.5">
      <c r="A91" s="7"/>
      <c r="B91" s="1366"/>
      <c r="C91" s="427" t="s">
        <v>1358</v>
      </c>
      <c r="D91" s="428" t="s">
        <v>2655</v>
      </c>
      <c r="E91" s="337" t="s">
        <v>2656</v>
      </c>
      <c r="F91" s="338" t="s">
        <v>1077</v>
      </c>
      <c r="G91" s="338">
        <v>0.2</v>
      </c>
      <c r="H91" s="7"/>
      <c r="I91" s="7"/>
      <c r="J91" s="155"/>
      <c r="K91" s="155"/>
      <c r="L91" s="155"/>
      <c r="M91" s="155"/>
      <c r="N91" s="155"/>
      <c r="O91" s="176"/>
      <c r="P91" s="410"/>
      <c r="Q91" s="176"/>
      <c r="R91" s="176"/>
      <c r="S91" s="410"/>
      <c r="T91" s="176"/>
      <c r="U91" s="176"/>
      <c r="V91" s="176"/>
      <c r="W91" s="176"/>
      <c r="X91" s="176"/>
      <c r="Y91" s="410"/>
      <c r="Z91" s="411"/>
      <c r="AA91" s="176"/>
      <c r="AB91" s="410"/>
      <c r="AC91" s="176"/>
      <c r="AD91" s="156"/>
      <c r="AE91" s="420" t="s">
        <v>2657</v>
      </c>
      <c r="AF91" s="421">
        <v>1</v>
      </c>
      <c r="AG91" s="421"/>
      <c r="AH91" s="421"/>
      <c r="AI91" s="421"/>
      <c r="AJ91" s="421">
        <f>ASM2d_i_TSS.XPHA</f>
        <v>0.6</v>
      </c>
      <c r="AK91" s="248"/>
    </row>
    <row r="92" spans="1:37" ht="19.5">
      <c r="A92" s="7"/>
      <c r="B92" s="1366"/>
      <c r="C92" s="427" t="s">
        <v>1359</v>
      </c>
      <c r="D92" s="428" t="s">
        <v>2658</v>
      </c>
      <c r="E92" s="337" t="s">
        <v>2659</v>
      </c>
      <c r="F92" s="338" t="s">
        <v>1077</v>
      </c>
      <c r="G92" s="338">
        <v>0.2</v>
      </c>
      <c r="H92" s="7"/>
      <c r="I92" s="7"/>
      <c r="J92" s="155"/>
      <c r="K92" s="155"/>
      <c r="L92" s="155"/>
      <c r="M92" s="155"/>
      <c r="N92" s="155"/>
      <c r="O92" s="176"/>
      <c r="P92" s="410"/>
      <c r="Q92" s="176"/>
      <c r="R92" s="176"/>
      <c r="S92" s="410"/>
      <c r="T92" s="176"/>
      <c r="U92" s="176"/>
      <c r="V92" s="176"/>
      <c r="W92" s="176"/>
      <c r="X92" s="176"/>
      <c r="Y92" s="410"/>
      <c r="Z92" s="411"/>
      <c r="AA92" s="176"/>
      <c r="AB92" s="410"/>
      <c r="AC92" s="176"/>
      <c r="AD92" s="156"/>
      <c r="AE92" s="420" t="s">
        <v>2660</v>
      </c>
      <c r="AF92" s="421">
        <v>1</v>
      </c>
      <c r="AG92" s="421">
        <f>ASM2d_i_N.BM</f>
        <v>0.07</v>
      </c>
      <c r="AH92" s="421">
        <f>ASM2d_i_P.BM</f>
        <v>0.02</v>
      </c>
      <c r="AI92" s="421"/>
      <c r="AJ92" s="421">
        <f>ASM2d_i_TSS.BM</f>
        <v>0.9</v>
      </c>
      <c r="AK92" s="248"/>
    </row>
    <row r="93" spans="1:37" ht="19.5">
      <c r="A93" s="7"/>
      <c r="B93" s="1366"/>
      <c r="C93" s="427" t="s">
        <v>1331</v>
      </c>
      <c r="D93" s="430" t="s">
        <v>1360</v>
      </c>
      <c r="E93" s="337" t="s">
        <v>2661</v>
      </c>
      <c r="F93" s="338" t="s">
        <v>1333</v>
      </c>
      <c r="G93" s="338">
        <v>4</v>
      </c>
      <c r="H93" s="7"/>
      <c r="I93" s="7"/>
      <c r="J93" s="155"/>
      <c r="K93" s="155"/>
      <c r="L93" s="155"/>
      <c r="M93" s="155"/>
      <c r="N93" s="155"/>
      <c r="O93" s="176"/>
      <c r="P93" s="410"/>
      <c r="Q93" s="176"/>
      <c r="R93" s="176"/>
      <c r="S93" s="410"/>
      <c r="T93" s="176"/>
      <c r="U93" s="176"/>
      <c r="V93" s="176"/>
      <c r="W93" s="176"/>
      <c r="X93" s="176"/>
      <c r="Y93" s="410"/>
      <c r="Z93" s="411"/>
      <c r="AA93" s="176"/>
      <c r="AB93" s="410"/>
      <c r="AC93" s="176"/>
      <c r="AD93" s="156"/>
      <c r="AE93" s="420" t="s">
        <v>2662</v>
      </c>
      <c r="AF93" s="421"/>
      <c r="AG93" s="421"/>
      <c r="AH93" s="421"/>
      <c r="AI93" s="421"/>
      <c r="AJ93" s="421">
        <v>-1</v>
      </c>
      <c r="AK93" s="248"/>
    </row>
    <row r="94" spans="1:37" ht="19.5">
      <c r="A94" s="7"/>
      <c r="B94" s="1366"/>
      <c r="C94" s="423" t="s">
        <v>1081</v>
      </c>
      <c r="D94" s="435" t="s">
        <v>1361</v>
      </c>
      <c r="E94" s="425" t="s">
        <v>2663</v>
      </c>
      <c r="F94" s="338" t="s">
        <v>1082</v>
      </c>
      <c r="G94" s="426">
        <v>0.2</v>
      </c>
      <c r="H94" s="7"/>
      <c r="I94" s="7"/>
      <c r="J94" s="155"/>
      <c r="K94" s="155"/>
      <c r="L94" s="155"/>
      <c r="M94" s="155"/>
      <c r="N94" s="155"/>
      <c r="O94" s="176"/>
      <c r="P94" s="410"/>
      <c r="Q94" s="176"/>
      <c r="R94" s="176"/>
      <c r="S94" s="410"/>
      <c r="T94" s="176"/>
      <c r="U94" s="176"/>
      <c r="V94" s="410"/>
      <c r="W94" s="176"/>
      <c r="X94" s="176"/>
      <c r="Y94" s="410"/>
      <c r="Z94" s="411"/>
      <c r="AA94" s="176"/>
      <c r="AB94" s="410"/>
      <c r="AC94" s="176"/>
      <c r="AD94" s="156"/>
      <c r="AE94" s="420" t="s">
        <v>2664</v>
      </c>
      <c r="AF94" s="421"/>
      <c r="AG94" s="421"/>
      <c r="AH94" s="421"/>
      <c r="AI94" s="421"/>
      <c r="AJ94" s="421">
        <v>1</v>
      </c>
      <c r="AK94" s="248"/>
    </row>
    <row r="95" spans="1:37" ht="20.25" thickBot="1">
      <c r="A95" s="7"/>
      <c r="B95" s="1366"/>
      <c r="C95" s="423" t="s">
        <v>1083</v>
      </c>
      <c r="D95" s="435" t="s">
        <v>1362</v>
      </c>
      <c r="E95" s="425" t="s">
        <v>2665</v>
      </c>
      <c r="F95" s="338" t="s">
        <v>1084</v>
      </c>
      <c r="G95" s="426">
        <v>0.5</v>
      </c>
      <c r="H95" s="7"/>
      <c r="I95" s="7"/>
      <c r="J95" s="176"/>
      <c r="K95" s="177"/>
      <c r="L95" s="177"/>
      <c r="M95" s="177"/>
      <c r="N95" s="177"/>
      <c r="O95" s="177"/>
      <c r="P95" s="176"/>
      <c r="Q95" s="176"/>
      <c r="R95" s="177"/>
      <c r="S95" s="176"/>
      <c r="T95" s="176"/>
      <c r="U95" s="176"/>
      <c r="V95" s="176"/>
      <c r="W95" s="176"/>
      <c r="X95" s="176"/>
      <c r="Y95" s="410"/>
      <c r="Z95" s="411"/>
      <c r="AA95" s="177"/>
      <c r="AB95" s="176"/>
      <c r="AC95" s="176"/>
      <c r="AD95" s="156"/>
      <c r="AE95" s="436" t="s">
        <v>2666</v>
      </c>
      <c r="AF95" s="437"/>
      <c r="AG95" s="437"/>
      <c r="AH95" s="438">
        <f>ASM2d_i_P_MeP</f>
        <v>0.2055702917771883</v>
      </c>
      <c r="AI95" s="437"/>
      <c r="AJ95" s="437">
        <v>1</v>
      </c>
      <c r="AK95" s="248"/>
    </row>
    <row r="96" spans="1:37" ht="20.25" thickBot="1">
      <c r="A96" s="7"/>
      <c r="B96" s="1366"/>
      <c r="C96" s="423" t="s">
        <v>1091</v>
      </c>
      <c r="D96" s="435" t="s">
        <v>1363</v>
      </c>
      <c r="E96" s="425" t="s">
        <v>2667</v>
      </c>
      <c r="F96" s="338" t="s">
        <v>1092</v>
      </c>
      <c r="G96" s="426">
        <v>0.05</v>
      </c>
      <c r="H96" s="7"/>
      <c r="I96" s="7"/>
      <c r="J96" s="439"/>
      <c r="K96" s="440"/>
      <c r="L96" s="441" t="s">
        <v>2626</v>
      </c>
      <c r="M96" s="441" t="s">
        <v>2627</v>
      </c>
      <c r="N96" s="441" t="s">
        <v>2629</v>
      </c>
      <c r="O96" s="441" t="s">
        <v>2631</v>
      </c>
      <c r="P96" s="441" t="s">
        <v>2633</v>
      </c>
      <c r="Q96" s="441" t="s">
        <v>2636</v>
      </c>
      <c r="R96" s="441" t="s">
        <v>2432</v>
      </c>
      <c r="S96" s="441" t="s">
        <v>2444</v>
      </c>
      <c r="T96" s="441" t="s">
        <v>2445</v>
      </c>
      <c r="U96" s="441" t="s">
        <v>2434</v>
      </c>
      <c r="V96" s="441" t="s">
        <v>2435</v>
      </c>
      <c r="W96" s="441" t="s">
        <v>2648</v>
      </c>
      <c r="X96" s="441" t="s">
        <v>2651</v>
      </c>
      <c r="Y96" s="441" t="s">
        <v>2654</v>
      </c>
      <c r="Z96" s="441" t="s">
        <v>2657</v>
      </c>
      <c r="AA96" s="441" t="s">
        <v>2660</v>
      </c>
      <c r="AB96" s="441" t="s">
        <v>2662</v>
      </c>
      <c r="AC96" s="441" t="s">
        <v>2664</v>
      </c>
      <c r="AD96" s="442" t="s">
        <v>2666</v>
      </c>
      <c r="AE96" s="156"/>
      <c r="AF96" s="443"/>
      <c r="AG96" s="443"/>
      <c r="AH96" s="443"/>
      <c r="AI96" s="443"/>
      <c r="AJ96" s="443"/>
      <c r="AK96" s="248"/>
    </row>
    <row r="97" spans="1:37" ht="19.5">
      <c r="A97" s="7"/>
      <c r="B97" s="1366"/>
      <c r="C97" s="423" t="s">
        <v>1364</v>
      </c>
      <c r="D97" s="424" t="s">
        <v>2668</v>
      </c>
      <c r="E97" s="425" t="s">
        <v>2669</v>
      </c>
      <c r="F97" s="338" t="s">
        <v>1340</v>
      </c>
      <c r="G97" s="426">
        <v>0.2</v>
      </c>
      <c r="H97" s="7"/>
      <c r="I97" s="7"/>
      <c r="J97" s="444" t="s">
        <v>2467</v>
      </c>
      <c r="K97" s="192" t="s">
        <v>2468</v>
      </c>
      <c r="L97" s="445"/>
      <c r="M97" s="445">
        <f>1-ASM2d_f_SI</f>
        <v>1</v>
      </c>
      <c r="N97" s="445"/>
      <c r="O97" s="445">
        <f>-((1-ASM2d_f_SI)*ASM2d_i_N.SF+ASM2d_f_SI*ASM2d_i_N.SI-ASM2d_i_N.XS)</f>
        <v>0.010000000000000002</v>
      </c>
      <c r="P97" s="445"/>
      <c r="Q97" s="446">
        <f>-((1-ASM2d_f_SI)*ASM2d_i_P.SF+ASM2d_f_SI*ASM2d_i_P.SI-ASM2d_i_P.XS)</f>
        <v>0</v>
      </c>
      <c r="R97" s="445">
        <f>ASM2d_f_SI</f>
        <v>0</v>
      </c>
      <c r="S97" s="447">
        <f>ASM2d_i_Charge_NHx*ASM2d_v_1_NH4+ASM2d_i_Charge_PO4*ASM2d_v_1_PO4</f>
        <v>0.0007142857142857144</v>
      </c>
      <c r="T97" s="445"/>
      <c r="U97" s="445"/>
      <c r="V97" s="445">
        <v>-1</v>
      </c>
      <c r="W97" s="445"/>
      <c r="X97" s="445"/>
      <c r="Y97" s="445"/>
      <c r="Z97" s="445"/>
      <c r="AA97" s="445"/>
      <c r="AB97" s="445">
        <f>-ASM2d_i_TSS.XS</f>
        <v>-0.75</v>
      </c>
      <c r="AC97" s="445"/>
      <c r="AD97" s="448"/>
      <c r="AE97" s="156"/>
      <c r="AF97" s="449">
        <f aca="true" t="shared" si="0" ref="AF97:AJ106">$L97*AF$77+$M97*AF$78+$N97*AF$79+$O97*AF$80+$P97*AF$81+$Q97*AF$82+$R97*AF$83+$S97*AF$84+$T97*AF$85+$U97*AF$86+$V97*AF$87+$W97*AF$88+$X97*AF$89+$Y97*AF$90+$Z97*AF$91+$AA97*AF$92+$AB97*AF$93+$AC97*AF$94+$AD97*AF$95</f>
        <v>0</v>
      </c>
      <c r="AG97" s="450">
        <f t="shared" si="0"/>
        <v>0</v>
      </c>
      <c r="AH97" s="449">
        <f t="shared" si="0"/>
        <v>0</v>
      </c>
      <c r="AI97" s="450">
        <f t="shared" si="0"/>
        <v>0</v>
      </c>
      <c r="AJ97" s="451">
        <f t="shared" si="0"/>
        <v>0</v>
      </c>
      <c r="AK97" s="248"/>
    </row>
    <row r="98" spans="1:37" ht="19.5">
      <c r="A98" s="7"/>
      <c r="B98" s="1366"/>
      <c r="C98" s="423" t="s">
        <v>1365</v>
      </c>
      <c r="D98" s="435" t="s">
        <v>1366</v>
      </c>
      <c r="E98" s="425" t="s">
        <v>2670</v>
      </c>
      <c r="F98" s="338" t="s">
        <v>1340</v>
      </c>
      <c r="G98" s="426">
        <v>0.01</v>
      </c>
      <c r="H98" s="7"/>
      <c r="I98" s="7"/>
      <c r="J98" s="444" t="s">
        <v>2473</v>
      </c>
      <c r="K98" s="192" t="s">
        <v>2474</v>
      </c>
      <c r="L98" s="445"/>
      <c r="M98" s="445">
        <f>1-ASM2d_f_SI</f>
        <v>1</v>
      </c>
      <c r="N98" s="445"/>
      <c r="O98" s="445">
        <f>-((1-ASM2d_f_SI)*ASM2d_i_N.SF+ASM2d_f_SI*ASM2d_i_N.SI-ASM2d_i_N.XS)</f>
        <v>0.010000000000000002</v>
      </c>
      <c r="P98" s="445"/>
      <c r="Q98" s="445">
        <f>-((1-ASM2d_f_SI)*ASM2d_i_P.SF+ASM2d_f_SI*ASM2d_i_P.SI-ASM2d_i_P.XS)</f>
        <v>0</v>
      </c>
      <c r="R98" s="445">
        <f>ASM2d_f_SI</f>
        <v>0</v>
      </c>
      <c r="S98" s="447">
        <f>ASM2d_i_Charge_NHx*ASM2d_v_2_NH4+ASM2d_i_Charge_PO4*ASM2d_v_2_PO4</f>
        <v>0.0007142857142857144</v>
      </c>
      <c r="T98" s="445"/>
      <c r="U98" s="445"/>
      <c r="V98" s="445">
        <v>-1</v>
      </c>
      <c r="W98" s="445"/>
      <c r="X98" s="445"/>
      <c r="Y98" s="445"/>
      <c r="Z98" s="445"/>
      <c r="AA98" s="445"/>
      <c r="AB98" s="445">
        <f>-ASM2d_i_TSS.XS</f>
        <v>-0.75</v>
      </c>
      <c r="AC98" s="445"/>
      <c r="AD98" s="448"/>
      <c r="AE98" s="156"/>
      <c r="AF98" s="452">
        <f t="shared" si="0"/>
        <v>0</v>
      </c>
      <c r="AG98" s="453">
        <f t="shared" si="0"/>
        <v>0</v>
      </c>
      <c r="AH98" s="452">
        <f t="shared" si="0"/>
        <v>0</v>
      </c>
      <c r="AI98" s="453">
        <f t="shared" si="0"/>
        <v>0</v>
      </c>
      <c r="AJ98" s="454">
        <f t="shared" si="0"/>
        <v>0</v>
      </c>
      <c r="AK98" s="248"/>
    </row>
    <row r="99" spans="1:37" ht="19.5">
      <c r="A99" s="7"/>
      <c r="B99" s="1366"/>
      <c r="C99" s="423" t="s">
        <v>1341</v>
      </c>
      <c r="D99" s="435" t="s">
        <v>1367</v>
      </c>
      <c r="E99" s="425" t="s">
        <v>2671</v>
      </c>
      <c r="F99" s="338" t="s">
        <v>1343</v>
      </c>
      <c r="G99" s="426">
        <v>0.1</v>
      </c>
      <c r="H99" s="7"/>
      <c r="I99" s="7"/>
      <c r="J99" s="444" t="s">
        <v>2475</v>
      </c>
      <c r="K99" s="192" t="s">
        <v>2476</v>
      </c>
      <c r="L99" s="445"/>
      <c r="M99" s="445">
        <f>1-ASM2d_f_SI</f>
        <v>1</v>
      </c>
      <c r="N99" s="445"/>
      <c r="O99" s="445">
        <f>-((1-ASM2d_f_SI)*ASM2d_i_N.SF+ASM2d_f_SI*ASM2d_i_N.SI-ASM2d_i_N.XS)</f>
        <v>0.010000000000000002</v>
      </c>
      <c r="P99" s="445"/>
      <c r="Q99" s="445">
        <f>-((1-ASM2d_f_SI)*ASM2d_i_P.SF+ASM2d_f_SI*ASM2d_i_P.SI-ASM2d_i_P.XS)</f>
        <v>0</v>
      </c>
      <c r="R99" s="445">
        <f>ASM2d_f_SI</f>
        <v>0</v>
      </c>
      <c r="S99" s="447">
        <f>ASM2d_i_Charge_NHx*ASM2d_v_3_NH4+ASM2d_i_Charge_PO4*ASM2d_v_3_PO4</f>
        <v>0.0007142857142857144</v>
      </c>
      <c r="T99" s="445"/>
      <c r="U99" s="445"/>
      <c r="V99" s="445">
        <v>-1</v>
      </c>
      <c r="W99" s="445"/>
      <c r="X99" s="445"/>
      <c r="Y99" s="445"/>
      <c r="Z99" s="445"/>
      <c r="AA99" s="445"/>
      <c r="AB99" s="445">
        <f>-ASM2d_i_TSS.XS</f>
        <v>-0.75</v>
      </c>
      <c r="AC99" s="445"/>
      <c r="AD99" s="448"/>
      <c r="AE99" s="156"/>
      <c r="AF99" s="452">
        <f t="shared" si="0"/>
        <v>0</v>
      </c>
      <c r="AG99" s="453">
        <f t="shared" si="0"/>
        <v>0</v>
      </c>
      <c r="AH99" s="452">
        <f t="shared" si="0"/>
        <v>0</v>
      </c>
      <c r="AI99" s="453">
        <f t="shared" si="0"/>
        <v>0</v>
      </c>
      <c r="AJ99" s="454">
        <f t="shared" si="0"/>
        <v>0</v>
      </c>
      <c r="AK99" s="248"/>
    </row>
    <row r="100" spans="1:37" ht="19.5">
      <c r="A100" s="7"/>
      <c r="B100" s="1366"/>
      <c r="C100" s="455" t="s">
        <v>1086</v>
      </c>
      <c r="D100" s="456" t="s">
        <v>2672</v>
      </c>
      <c r="E100" s="92" t="s">
        <v>2411</v>
      </c>
      <c r="F100" s="457" t="s">
        <v>1077</v>
      </c>
      <c r="G100" s="457">
        <v>1</v>
      </c>
      <c r="H100" s="7"/>
      <c r="I100" s="7"/>
      <c r="J100" s="444" t="s">
        <v>2477</v>
      </c>
      <c r="K100" s="192" t="s">
        <v>1116</v>
      </c>
      <c r="L100" s="458">
        <f>-(1-ASM2d_Y_H)/ASM2d_Y_H</f>
        <v>-0.6</v>
      </c>
      <c r="M100" s="458">
        <f>-1/ASM2d_Y_H</f>
        <v>-1.6</v>
      </c>
      <c r="N100" s="458"/>
      <c r="O100" s="447">
        <f>-(-1/ASM2d_Y_H*ASM2d_i_N.SF+ASM2d_i_N.BM)</f>
        <v>-0.022000000000000006</v>
      </c>
      <c r="P100" s="445"/>
      <c r="Q100" s="447">
        <f>-(-1/ASM2d_Y_H*ASM2d_i_P.SF+ASM2d_i_P.BM)</f>
        <v>-0.004</v>
      </c>
      <c r="R100" s="445"/>
      <c r="S100" s="447">
        <f>ASM2d_i_Charge_NHx*ASM2d_v_4_NH4+ASM2d_i_Charge_PO4*ASM2d_v_4_PO4</f>
        <v>-0.0013778801843317976</v>
      </c>
      <c r="T100" s="445"/>
      <c r="U100" s="445"/>
      <c r="V100" s="445"/>
      <c r="W100" s="445">
        <v>1</v>
      </c>
      <c r="X100" s="445"/>
      <c r="Y100" s="445"/>
      <c r="Z100" s="445"/>
      <c r="AA100" s="445"/>
      <c r="AB100" s="445">
        <f>ASM2d_i_TSS.BM</f>
        <v>0.9</v>
      </c>
      <c r="AC100" s="445"/>
      <c r="AD100" s="448"/>
      <c r="AE100" s="156"/>
      <c r="AF100" s="452">
        <f t="shared" si="0"/>
        <v>0</v>
      </c>
      <c r="AG100" s="453">
        <f t="shared" si="0"/>
        <v>0</v>
      </c>
      <c r="AH100" s="452">
        <f t="shared" si="0"/>
        <v>0</v>
      </c>
      <c r="AI100" s="453">
        <f t="shared" si="0"/>
        <v>0</v>
      </c>
      <c r="AJ100" s="454">
        <f t="shared" si="0"/>
        <v>0</v>
      </c>
      <c r="AK100" s="248"/>
    </row>
    <row r="101" spans="1:37" ht="19.5">
      <c r="A101" s="7"/>
      <c r="B101" s="1366"/>
      <c r="C101" s="150" t="s">
        <v>1087</v>
      </c>
      <c r="D101" s="459" t="s">
        <v>2673</v>
      </c>
      <c r="E101" s="152" t="s">
        <v>2413</v>
      </c>
      <c r="F101" s="460" t="s">
        <v>1077</v>
      </c>
      <c r="G101" s="153">
        <v>0.15</v>
      </c>
      <c r="H101" s="7"/>
      <c r="I101" s="7"/>
      <c r="J101" s="444" t="s">
        <v>2479</v>
      </c>
      <c r="K101" s="192" t="s">
        <v>1123</v>
      </c>
      <c r="L101" s="458">
        <f>-(1-ASM2d_Y_H)/ASM2d_Y_H</f>
        <v>-0.6</v>
      </c>
      <c r="M101" s="458"/>
      <c r="N101" s="458">
        <f>-1/ASM2d_Y_H</f>
        <v>-1.6</v>
      </c>
      <c r="O101" s="445">
        <f>-ASM2d_i_N.BM</f>
        <v>-0.07</v>
      </c>
      <c r="P101" s="445"/>
      <c r="Q101" s="445">
        <f>-ASM2d_i_P.BM</f>
        <v>-0.02</v>
      </c>
      <c r="R101" s="445"/>
      <c r="S101" s="447">
        <f>ASM2d_i_Charge_NHx*ASM2d_v_5_NH4+ASM2d_i_Charge_PO4*ASM2d_v_5_PO4+ASM2d_v_5_SA*ASM2d_i_Charge_Ac</f>
        <v>0.020967741935483872</v>
      </c>
      <c r="T101" s="445"/>
      <c r="U101" s="445"/>
      <c r="V101" s="445"/>
      <c r="W101" s="445">
        <v>1</v>
      </c>
      <c r="X101" s="445"/>
      <c r="Y101" s="445"/>
      <c r="Z101" s="445"/>
      <c r="AA101" s="445"/>
      <c r="AB101" s="445">
        <f>ASM2d_i_TSS.BM</f>
        <v>0.9</v>
      </c>
      <c r="AC101" s="445"/>
      <c r="AD101" s="448"/>
      <c r="AE101" s="156"/>
      <c r="AF101" s="452">
        <f t="shared" si="0"/>
        <v>0</v>
      </c>
      <c r="AG101" s="453">
        <f t="shared" si="0"/>
        <v>0</v>
      </c>
      <c r="AH101" s="452">
        <f t="shared" si="0"/>
        <v>0</v>
      </c>
      <c r="AI101" s="453">
        <f t="shared" si="0"/>
        <v>0</v>
      </c>
      <c r="AJ101" s="454">
        <f t="shared" si="0"/>
        <v>0</v>
      </c>
      <c r="AK101" s="248"/>
    </row>
    <row r="102" spans="1:37" ht="19.5">
      <c r="A102" s="7"/>
      <c r="B102" s="1366"/>
      <c r="C102" s="461" t="s">
        <v>1081</v>
      </c>
      <c r="D102" s="462" t="s">
        <v>1368</v>
      </c>
      <c r="E102" s="92" t="s">
        <v>2418</v>
      </c>
      <c r="F102" s="153" t="s">
        <v>1082</v>
      </c>
      <c r="G102" s="457">
        <v>0.5</v>
      </c>
      <c r="H102" s="7"/>
      <c r="I102" s="7"/>
      <c r="J102" s="444" t="s">
        <v>2482</v>
      </c>
      <c r="K102" s="192" t="s">
        <v>1128</v>
      </c>
      <c r="L102" s="458"/>
      <c r="M102" s="458">
        <f>-1/ASM2d_Y_H</f>
        <v>-1.6</v>
      </c>
      <c r="N102" s="458"/>
      <c r="O102" s="447">
        <f>-(-1/ASM2d_Y_H*ASM2d_i_N.SF+ASM2d_i_N.BM)</f>
        <v>-0.022000000000000006</v>
      </c>
      <c r="P102" s="458">
        <f>-(1-ASM2d_Y_H)/(ASM2d_i_NOx.N2*ASM2d_Y_H)</f>
        <v>-0.21</v>
      </c>
      <c r="Q102" s="447">
        <f>-(-1/ASM2d_Y_H*ASM2d_i_P.SF+ASM2d_i_P.BM)</f>
        <v>-0.004</v>
      </c>
      <c r="R102" s="445"/>
      <c r="S102" s="447">
        <f>ASM2d_i_Charge_NHx*ASM2d_v_6_NH4+ASM2d_i_Charge_PO4*ASM2d_v_6_PO4+ASM2d_v_6_NO3*ASM2d_i_Charge_NOx</f>
        <v>0.013622119815668202</v>
      </c>
      <c r="T102" s="458">
        <f>(1-ASM2d_Y_H)/(ASM2d_i_NOx.N2*ASM2d_Y_H)</f>
        <v>0.21</v>
      </c>
      <c r="U102" s="445"/>
      <c r="V102" s="445"/>
      <c r="W102" s="445">
        <v>1</v>
      </c>
      <c r="X102" s="445"/>
      <c r="Y102" s="445"/>
      <c r="Z102" s="445"/>
      <c r="AA102" s="445"/>
      <c r="AB102" s="445">
        <f>ASM2d_i_TSS.BM</f>
        <v>0.9</v>
      </c>
      <c r="AC102" s="445"/>
      <c r="AD102" s="448"/>
      <c r="AE102" s="156"/>
      <c r="AF102" s="452">
        <f t="shared" si="0"/>
        <v>0</v>
      </c>
      <c r="AG102" s="453">
        <f t="shared" si="0"/>
        <v>-2.7755575615628914E-17</v>
      </c>
      <c r="AH102" s="452">
        <f t="shared" si="0"/>
        <v>0</v>
      </c>
      <c r="AI102" s="453">
        <f t="shared" si="0"/>
        <v>1.734723475976807E-18</v>
      </c>
      <c r="AJ102" s="454">
        <f t="shared" si="0"/>
        <v>0</v>
      </c>
      <c r="AK102" s="248"/>
    </row>
    <row r="103" spans="1:37" ht="19.5">
      <c r="A103" s="7"/>
      <c r="B103" s="1366"/>
      <c r="C103" s="461" t="s">
        <v>1091</v>
      </c>
      <c r="D103" s="463" t="s">
        <v>1369</v>
      </c>
      <c r="E103" s="152" t="s">
        <v>2420</v>
      </c>
      <c r="F103" s="153" t="s">
        <v>1092</v>
      </c>
      <c r="G103" s="153">
        <v>1</v>
      </c>
      <c r="H103" s="7"/>
      <c r="I103" s="7"/>
      <c r="J103" s="444" t="s">
        <v>2484</v>
      </c>
      <c r="K103" s="192" t="s">
        <v>1134</v>
      </c>
      <c r="L103" s="458"/>
      <c r="M103" s="458"/>
      <c r="N103" s="458">
        <f>-1/ASM2d_Y_H</f>
        <v>-1.6</v>
      </c>
      <c r="O103" s="445">
        <f>-ASM2d_i_N.BM</f>
        <v>-0.07</v>
      </c>
      <c r="P103" s="458">
        <f>-(1-ASM2d_Y_H)/(ASM2d_i_NOx.N2*ASM2d_Y_H)</f>
        <v>-0.21</v>
      </c>
      <c r="Q103" s="445">
        <f>-ASM2d_i_P.BM</f>
        <v>-0.02</v>
      </c>
      <c r="R103" s="445"/>
      <c r="S103" s="447">
        <f>ASM2d_i_Charge_NHx*ASM2d_v_7_NH4+ASM2d_i_Charge_PO4*ASM2d_v_7_PO4+ASM2d_v_7_NO3*ASM2d_i_Charge_NOx+ASM2d_v_7_SA*ASM2d_i_Charge_Ac</f>
        <v>0.03596774193548387</v>
      </c>
      <c r="T103" s="458">
        <f>(1-ASM2d_Y_H)/(ASM2d_i_NOx.N2*ASM2d_Y_H)</f>
        <v>0.21</v>
      </c>
      <c r="U103" s="445"/>
      <c r="V103" s="445"/>
      <c r="W103" s="445">
        <v>1</v>
      </c>
      <c r="X103" s="445"/>
      <c r="Y103" s="445"/>
      <c r="Z103" s="445"/>
      <c r="AA103" s="445"/>
      <c r="AB103" s="445">
        <f>ASM2d_i_TSS.BM</f>
        <v>0.9</v>
      </c>
      <c r="AC103" s="445"/>
      <c r="AD103" s="448"/>
      <c r="AE103" s="156"/>
      <c r="AF103" s="452">
        <f t="shared" si="0"/>
        <v>0</v>
      </c>
      <c r="AG103" s="453">
        <f t="shared" si="0"/>
        <v>-2.7755575615628914E-17</v>
      </c>
      <c r="AH103" s="452">
        <f t="shared" si="0"/>
        <v>0</v>
      </c>
      <c r="AI103" s="453">
        <f t="shared" si="0"/>
        <v>6.938893903907228E-18</v>
      </c>
      <c r="AJ103" s="454">
        <f t="shared" si="0"/>
        <v>0</v>
      </c>
      <c r="AK103" s="248"/>
    </row>
    <row r="104" spans="1:37" ht="19.5">
      <c r="A104" s="7"/>
      <c r="B104" s="1366"/>
      <c r="C104" s="461" t="s">
        <v>1338</v>
      </c>
      <c r="D104" s="463" t="s">
        <v>1370</v>
      </c>
      <c r="E104" s="152" t="s">
        <v>2674</v>
      </c>
      <c r="F104" s="153" t="s">
        <v>1340</v>
      </c>
      <c r="G104" s="153">
        <v>0.01</v>
      </c>
      <c r="H104" s="7"/>
      <c r="I104" s="7"/>
      <c r="J104" s="444" t="s">
        <v>2486</v>
      </c>
      <c r="K104" s="192" t="s">
        <v>2487</v>
      </c>
      <c r="L104" s="458"/>
      <c r="M104" s="445">
        <f>-1</f>
        <v>-1</v>
      </c>
      <c r="N104" s="445">
        <f>1</f>
        <v>1</v>
      </c>
      <c r="O104" s="445">
        <f>ASM2d_i_N.SF</f>
        <v>0.03</v>
      </c>
      <c r="P104" s="445"/>
      <c r="Q104" s="445">
        <f>ASM2d_i_P.SF</f>
        <v>0.01</v>
      </c>
      <c r="R104" s="445"/>
      <c r="S104" s="447">
        <f>ASM2d_i_Charge_NHx*ASM2d_v_8_NH4+ASM2d_i_Charge_PO4*ASM2d_V_8_PO4+ASM2d_i_Charge_Ac</f>
        <v>-0.013966013824884793</v>
      </c>
      <c r="T104" s="445"/>
      <c r="U104" s="445"/>
      <c r="V104" s="445"/>
      <c r="W104" s="445"/>
      <c r="X104" s="445"/>
      <c r="Y104" s="445"/>
      <c r="Z104" s="445"/>
      <c r="AA104" s="445"/>
      <c r="AB104" s="445"/>
      <c r="AC104" s="445"/>
      <c r="AD104" s="448"/>
      <c r="AE104" s="156"/>
      <c r="AF104" s="452">
        <f t="shared" si="0"/>
        <v>0</v>
      </c>
      <c r="AG104" s="453">
        <f t="shared" si="0"/>
        <v>0</v>
      </c>
      <c r="AH104" s="452">
        <f t="shared" si="0"/>
        <v>0</v>
      </c>
      <c r="AI104" s="453">
        <f t="shared" si="0"/>
        <v>0</v>
      </c>
      <c r="AJ104" s="454">
        <f t="shared" si="0"/>
        <v>0</v>
      </c>
      <c r="AK104" s="248"/>
    </row>
    <row r="105" spans="1:37" ht="19.5">
      <c r="A105" s="7"/>
      <c r="B105" s="1366"/>
      <c r="C105" s="461" t="s">
        <v>1341</v>
      </c>
      <c r="D105" s="463" t="s">
        <v>1371</v>
      </c>
      <c r="E105" s="152" t="s">
        <v>2675</v>
      </c>
      <c r="F105" s="153" t="s">
        <v>1343</v>
      </c>
      <c r="G105" s="153">
        <v>0.5</v>
      </c>
      <c r="H105" s="7"/>
      <c r="I105" s="7"/>
      <c r="J105" s="444" t="s">
        <v>2493</v>
      </c>
      <c r="K105" s="192" t="s">
        <v>2494</v>
      </c>
      <c r="L105" s="458"/>
      <c r="M105" s="445"/>
      <c r="N105" s="445"/>
      <c r="O105" s="445">
        <f>-(ASM2d_f_XI*ASM2d_i_N.XI+(1-ASM2d_f_XI)*ASM2d_i_N.XS-ASM2d_i_N.BM)</f>
        <v>0.032</v>
      </c>
      <c r="P105" s="445"/>
      <c r="Q105" s="445">
        <f>-(ASM2d_i_P.XI*ASM2d_f_XI+(1-ASM2d_f_XI)*ASM2d_i_P.XS-ASM2d_i_P.BM)</f>
        <v>0.009999999999999998</v>
      </c>
      <c r="R105" s="445"/>
      <c r="S105" s="447">
        <f>ASM2d_i_Charge_NHx*ASM2d_v_9_NH4+ASM2d_i_Charge_PO4*ASM2d_v_9_PO4</f>
        <v>0.00180184331797235</v>
      </c>
      <c r="T105" s="445"/>
      <c r="U105" s="445">
        <f>ASM2d_f_XI</f>
        <v>0.1</v>
      </c>
      <c r="V105" s="445">
        <f>1-ASM2d_f_XI</f>
        <v>0.9</v>
      </c>
      <c r="W105" s="445">
        <v>-1</v>
      </c>
      <c r="X105" s="445"/>
      <c r="Y105" s="445"/>
      <c r="Z105" s="445"/>
      <c r="AA105" s="445"/>
      <c r="AB105" s="445">
        <f>ASM2d_f_XI*ASM2d_i_TSS.XI+(1-ASM2d_f_XI)*ASM2d_i_TSS.XS-ASM2d_i_TSS.BM</f>
        <v>-0.15000000000000002</v>
      </c>
      <c r="AC105" s="445"/>
      <c r="AD105" s="448"/>
      <c r="AE105" s="156"/>
      <c r="AF105" s="452">
        <f t="shared" si="0"/>
        <v>0</v>
      </c>
      <c r="AG105" s="453">
        <f t="shared" si="0"/>
        <v>0</v>
      </c>
      <c r="AH105" s="452">
        <f t="shared" si="0"/>
        <v>0</v>
      </c>
      <c r="AI105" s="453">
        <f t="shared" si="0"/>
        <v>0</v>
      </c>
      <c r="AJ105" s="454">
        <f t="shared" si="0"/>
        <v>0</v>
      </c>
      <c r="AK105" s="248"/>
    </row>
    <row r="106" spans="1:37" ht="19.5">
      <c r="A106" s="7"/>
      <c r="B106" s="1366"/>
      <c r="C106" s="464" t="s">
        <v>2676</v>
      </c>
      <c r="D106" s="465" t="s">
        <v>2677</v>
      </c>
      <c r="E106" s="466" t="s">
        <v>2678</v>
      </c>
      <c r="F106" s="467" t="s">
        <v>1372</v>
      </c>
      <c r="G106" s="467">
        <v>1</v>
      </c>
      <c r="H106" s="7"/>
      <c r="I106" s="7"/>
      <c r="J106" s="444" t="s">
        <v>2499</v>
      </c>
      <c r="K106" s="192" t="s">
        <v>1146</v>
      </c>
      <c r="L106" s="458"/>
      <c r="M106" s="445"/>
      <c r="N106" s="445">
        <f>-1</f>
        <v>-1</v>
      </c>
      <c r="O106" s="445"/>
      <c r="P106" s="445"/>
      <c r="Q106" s="445">
        <f>ASM2d_Y_PO4</f>
        <v>0.4</v>
      </c>
      <c r="R106" s="445"/>
      <c r="S106" s="447">
        <f>-ASM2d_i_Charge_Ac+ASM2d_i_Charge_PO4*ASM2d_Y_PO4-ASM2d_i_Charge_XPAO.PP*ASM2d_Y_PO4</f>
        <v>0.009173387096774193</v>
      </c>
      <c r="T106" s="445"/>
      <c r="U106" s="445"/>
      <c r="V106" s="445"/>
      <c r="W106" s="445"/>
      <c r="X106" s="445"/>
      <c r="Y106" s="445">
        <f>-ASM2d_Y_PO4</f>
        <v>-0.4</v>
      </c>
      <c r="Z106" s="445" t="s">
        <v>2467</v>
      </c>
      <c r="AA106" s="445"/>
      <c r="AB106" s="458">
        <f>-ASM2d_Y_PO4*ASM2d_i_TSS.XPP+ASM2d_i_TSS.XPHA</f>
        <v>-0.6920000000000001</v>
      </c>
      <c r="AC106" s="445"/>
      <c r="AD106" s="448"/>
      <c r="AE106" s="156"/>
      <c r="AF106" s="452">
        <f t="shared" si="0"/>
        <v>0</v>
      </c>
      <c r="AG106" s="453">
        <f t="shared" si="0"/>
        <v>0</v>
      </c>
      <c r="AH106" s="452">
        <f t="shared" si="0"/>
        <v>0</v>
      </c>
      <c r="AI106" s="453">
        <f t="shared" si="0"/>
        <v>0</v>
      </c>
      <c r="AJ106" s="454">
        <f t="shared" si="0"/>
        <v>0</v>
      </c>
      <c r="AK106" s="248"/>
    </row>
    <row r="107" spans="1:37" ht="19.5">
      <c r="A107" s="7"/>
      <c r="B107" s="1366"/>
      <c r="C107" s="464" t="s">
        <v>2679</v>
      </c>
      <c r="D107" s="465" t="s">
        <v>2680</v>
      </c>
      <c r="E107" s="466" t="s">
        <v>2681</v>
      </c>
      <c r="F107" s="467" t="s">
        <v>1077</v>
      </c>
      <c r="G107" s="467">
        <v>0.6</v>
      </c>
      <c r="H107" s="7"/>
      <c r="I107" s="7"/>
      <c r="J107" s="444" t="s">
        <v>2502</v>
      </c>
      <c r="K107" s="192" t="s">
        <v>1151</v>
      </c>
      <c r="L107" s="458">
        <f>-ASM2d_Y_PHA</f>
        <v>-0.2</v>
      </c>
      <c r="M107" s="445"/>
      <c r="N107" s="445"/>
      <c r="O107" s="445"/>
      <c r="P107" s="445"/>
      <c r="Q107" s="445" t="s">
        <v>2488</v>
      </c>
      <c r="R107" s="445"/>
      <c r="S107" s="447">
        <f>-ASM2d_i_Charge_PO4+ASM2d_i_Charge_XPAO.PP</f>
        <v>0.016129032258064516</v>
      </c>
      <c r="T107" s="445"/>
      <c r="U107" s="445"/>
      <c r="V107" s="445"/>
      <c r="W107" s="445"/>
      <c r="X107" s="445"/>
      <c r="Y107" s="445" t="s">
        <v>2467</v>
      </c>
      <c r="Z107" s="445">
        <f>-ASM2d_Y_PHA</f>
        <v>-0.2</v>
      </c>
      <c r="AA107" s="445"/>
      <c r="AB107" s="445">
        <f>ASM2d_i_TSS.XPP-ASM2d_Y_PHA*ASM2d_i_TSS.XPHA</f>
        <v>3.11</v>
      </c>
      <c r="AC107" s="445"/>
      <c r="AD107" s="448"/>
      <c r="AE107" s="156"/>
      <c r="AF107" s="452">
        <f aca="true" t="shared" si="1" ref="AF107:AJ117">$L107*AF$77+$M107*AF$78+$N107*AF$79+$O107*AF$80+$P107*AF$81+$Q107*AF$82+$R107*AF$83+$S107*AF$84+$T107*AF$85+$U107*AF$86+$V107*AF$87+$W107*AF$88+$X107*AF$89+$Y107*AF$90+$Z107*AF$91+$AA107*AF$92+$AB107*AF$93+$AC107*AF$94+$AD107*AF$95</f>
        <v>0</v>
      </c>
      <c r="AG107" s="453">
        <f t="shared" si="1"/>
        <v>0</v>
      </c>
      <c r="AH107" s="452">
        <f t="shared" si="1"/>
        <v>0</v>
      </c>
      <c r="AI107" s="453">
        <f t="shared" si="1"/>
        <v>0</v>
      </c>
      <c r="AJ107" s="454">
        <f t="shared" si="1"/>
        <v>0</v>
      </c>
      <c r="AK107" s="248"/>
    </row>
    <row r="108" spans="1:37" ht="20.25" thickBot="1">
      <c r="A108" s="7"/>
      <c r="B108" s="1367"/>
      <c r="C108" s="464" t="s">
        <v>2682</v>
      </c>
      <c r="D108" s="468" t="s">
        <v>1373</v>
      </c>
      <c r="E108" s="469" t="s">
        <v>2683</v>
      </c>
      <c r="F108" s="470" t="s">
        <v>1374</v>
      </c>
      <c r="G108" s="470">
        <v>0.5</v>
      </c>
      <c r="H108" s="7"/>
      <c r="I108" s="7"/>
      <c r="J108" s="444">
        <v>12</v>
      </c>
      <c r="K108" s="192" t="s">
        <v>1156</v>
      </c>
      <c r="L108" s="458"/>
      <c r="M108" s="445"/>
      <c r="N108" s="445"/>
      <c r="O108" s="445"/>
      <c r="P108" s="445">
        <f>-ASM2d_Y_PHA*(1/ASM2d_i_NOx.N2)</f>
        <v>-0.06999999999999999</v>
      </c>
      <c r="Q108" s="445" t="s">
        <v>2488</v>
      </c>
      <c r="R108" s="445"/>
      <c r="S108" s="447">
        <f>-ASM2d_i_Charge_PO4+ASM2d_i_Charge_NOx*ASM2d_v_12_NO3+ASM2d_i_Charge_XPAO.PP</f>
        <v>0.021129032258064513</v>
      </c>
      <c r="T108" s="445">
        <f>ASM2d_Y_PHA*(1/ASM2d_i_NOx.N2)</f>
        <v>0.06999999999999999</v>
      </c>
      <c r="U108" s="445"/>
      <c r="V108" s="445"/>
      <c r="W108" s="445"/>
      <c r="X108" s="445"/>
      <c r="Y108" s="445" t="s">
        <v>2467</v>
      </c>
      <c r="Z108" s="445">
        <f>-ASM2d_Y_PHA</f>
        <v>-0.2</v>
      </c>
      <c r="AA108" s="445"/>
      <c r="AB108" s="445">
        <f>ASM2d_i_TSS.XPP-ASM2d_Y_PHA*ASM2d_i_TSS.XPHA</f>
        <v>3.11</v>
      </c>
      <c r="AC108" s="445"/>
      <c r="AD108" s="448"/>
      <c r="AE108" s="156"/>
      <c r="AF108" s="452">
        <f t="shared" si="1"/>
        <v>-5.551115123125783E-17</v>
      </c>
      <c r="AG108" s="453">
        <f t="shared" si="1"/>
        <v>0</v>
      </c>
      <c r="AH108" s="452">
        <f t="shared" si="1"/>
        <v>0</v>
      </c>
      <c r="AI108" s="453">
        <f t="shared" si="1"/>
        <v>0</v>
      </c>
      <c r="AJ108" s="454">
        <f t="shared" si="1"/>
        <v>0</v>
      </c>
      <c r="AK108" s="248"/>
    </row>
    <row r="109" spans="1:37" ht="16.5">
      <c r="A109" s="7"/>
      <c r="B109" s="471"/>
      <c r="C109" s="472"/>
      <c r="D109" s="8"/>
      <c r="E109" s="247"/>
      <c r="F109" s="8"/>
      <c r="G109" s="7"/>
      <c r="H109" s="7"/>
      <c r="I109" s="7"/>
      <c r="J109" s="444">
        <v>13</v>
      </c>
      <c r="K109" s="192" t="s">
        <v>1161</v>
      </c>
      <c r="L109" s="458">
        <f>-(1-ASM2d_Y_PAO)/ASM2d_Y_PAO</f>
        <v>-0.6</v>
      </c>
      <c r="M109" s="445"/>
      <c r="N109" s="445"/>
      <c r="O109" s="445">
        <f>-ASM2d_i_N.BM</f>
        <v>-0.07</v>
      </c>
      <c r="P109" s="445"/>
      <c r="Q109" s="445">
        <f>-ASM2d_i_P.BM</f>
        <v>-0.02</v>
      </c>
      <c r="R109" s="445"/>
      <c r="S109" s="447">
        <f>ASM2d_i_Charge_NHx*ASM2d_v_13_NH4-ASM2d_i_P.BM*ASM2d_i_Charge_PO4</f>
        <v>-0.004032258064516129</v>
      </c>
      <c r="T109" s="445"/>
      <c r="U109" s="445"/>
      <c r="V109" s="445"/>
      <c r="W109" s="445"/>
      <c r="X109" s="445" t="s">
        <v>2467</v>
      </c>
      <c r="Y109" s="445"/>
      <c r="Z109" s="458">
        <f>-1/ASM2d_Y_PAO</f>
        <v>-1.6</v>
      </c>
      <c r="AA109" s="445"/>
      <c r="AB109" s="458">
        <f>ASM2d_i_TSS.BM-1/ASM2d_Y_PAO*ASM2d_i_TSS.XPHA</f>
        <v>-0.05999999999999994</v>
      </c>
      <c r="AC109" s="445"/>
      <c r="AD109" s="448"/>
      <c r="AE109" s="156"/>
      <c r="AF109" s="452">
        <f t="shared" si="1"/>
        <v>0</v>
      </c>
      <c r="AG109" s="453">
        <f t="shared" si="1"/>
        <v>0</v>
      </c>
      <c r="AH109" s="452">
        <f t="shared" si="1"/>
        <v>0</v>
      </c>
      <c r="AI109" s="453">
        <f t="shared" si="1"/>
        <v>0</v>
      </c>
      <c r="AJ109" s="454">
        <f t="shared" si="1"/>
        <v>0</v>
      </c>
      <c r="AK109" s="248"/>
    </row>
    <row r="110" spans="1:37" ht="16.5">
      <c r="A110" s="7"/>
      <c r="B110" s="7"/>
      <c r="C110" s="246"/>
      <c r="D110" s="8"/>
      <c r="E110" s="247"/>
      <c r="F110" s="8"/>
      <c r="G110" s="7"/>
      <c r="H110" s="7"/>
      <c r="I110" s="7"/>
      <c r="J110" s="444">
        <v>14</v>
      </c>
      <c r="K110" s="192" t="s">
        <v>1167</v>
      </c>
      <c r="L110" s="458"/>
      <c r="M110" s="445"/>
      <c r="N110" s="445"/>
      <c r="O110" s="445">
        <f>-ASM2d_i_N.BM</f>
        <v>-0.07</v>
      </c>
      <c r="P110" s="458">
        <f>-(1-ASM2d_Y_PAO)/ASM2d_Y_PAO*(1/ASM2d_i_NOx.N2)</f>
        <v>-0.21</v>
      </c>
      <c r="Q110" s="445">
        <f>-ASM2d_i_P.BM</f>
        <v>-0.02</v>
      </c>
      <c r="R110" s="445"/>
      <c r="S110" s="447">
        <f>ASM2d_i_Charge_NHx*ASM2d_v_14_NH4+ASM2d_i_Charge_NOx*ASM2d_v_14_NO3-ASM2d_i_P.BM*ASM2d_i_Charge_PO4</f>
        <v>0.010967741935483869</v>
      </c>
      <c r="T110" s="458">
        <f>(1-ASM2d_Y_PAO)/ASM2d_Y_PAO*(1/ASM2d_i_NOx.N2)</f>
        <v>0.21</v>
      </c>
      <c r="U110" s="445"/>
      <c r="V110" s="445"/>
      <c r="W110" s="445"/>
      <c r="X110" s="445" t="s">
        <v>2467</v>
      </c>
      <c r="Y110" s="445"/>
      <c r="Z110" s="458">
        <f>-1/ASM2d_Y_PAO</f>
        <v>-1.6</v>
      </c>
      <c r="AA110" s="445"/>
      <c r="AB110" s="458">
        <f>ASM2d_i_TSS.BM-1/ASM2d_Y_PAO*ASM2d_i_TSS.XPHA</f>
        <v>-0.05999999999999994</v>
      </c>
      <c r="AC110" s="445"/>
      <c r="AD110" s="448"/>
      <c r="AE110" s="156"/>
      <c r="AF110" s="452">
        <f t="shared" si="1"/>
        <v>0</v>
      </c>
      <c r="AG110" s="453">
        <f t="shared" si="1"/>
        <v>-2.7755575615628914E-17</v>
      </c>
      <c r="AH110" s="452">
        <f t="shared" si="1"/>
        <v>0</v>
      </c>
      <c r="AI110" s="453">
        <f t="shared" si="1"/>
        <v>0</v>
      </c>
      <c r="AJ110" s="454">
        <f t="shared" si="1"/>
        <v>0</v>
      </c>
      <c r="AK110" s="248"/>
    </row>
    <row r="111" spans="1:37" ht="16.5">
      <c r="A111" s="7"/>
      <c r="B111" s="7"/>
      <c r="C111" s="246"/>
      <c r="D111" s="8"/>
      <c r="E111" s="247"/>
      <c r="F111" s="8"/>
      <c r="G111" s="7"/>
      <c r="H111" s="7"/>
      <c r="I111" s="7"/>
      <c r="J111" s="444">
        <v>15</v>
      </c>
      <c r="K111" s="192" t="s">
        <v>1172</v>
      </c>
      <c r="L111" s="458"/>
      <c r="M111" s="445"/>
      <c r="N111" s="445"/>
      <c r="O111" s="445">
        <f>-(ASM2d_f_XI*ASM2d_i_N.XI+(1-ASM2d_f_XI)*ASM2d_i_N.XS-ASM2d_i_N.BM)</f>
        <v>0.032</v>
      </c>
      <c r="P111" s="445"/>
      <c r="Q111" s="445">
        <f>-(ASM2d_f_XI*ASM2d_i_P.XI+(1-ASM2d_f_XI)*ASM2d_i_P.XS-ASM2d_i_P.BM)</f>
        <v>0.009999999999999998</v>
      </c>
      <c r="R111" s="445"/>
      <c r="S111" s="447">
        <f>ASM2d_i_Charge_NHx*ASM2d_v_15_NH4+ASM2d_v_15_PO4*ASM2d_i_Charge_PO4</f>
        <v>0.00180184331797235</v>
      </c>
      <c r="T111" s="445"/>
      <c r="U111" s="445">
        <f>ASM2d_f_XI</f>
        <v>0.1</v>
      </c>
      <c r="V111" s="445">
        <f>1-ASM2d_f_XI</f>
        <v>0.9</v>
      </c>
      <c r="W111" s="445"/>
      <c r="X111" s="445" t="s">
        <v>2488</v>
      </c>
      <c r="Y111" s="445"/>
      <c r="Z111" s="445"/>
      <c r="AA111" s="445"/>
      <c r="AB111" s="445">
        <f>ASM2d_f_XI*ASM2d_i_TSS.XI+(1-ASM2d_f_XI)*ASM2d_i_TSS.XS-ASM2d_i_TSS.BM</f>
        <v>-0.15000000000000002</v>
      </c>
      <c r="AC111" s="445"/>
      <c r="AD111" s="448"/>
      <c r="AE111" s="156"/>
      <c r="AF111" s="452">
        <f t="shared" si="1"/>
        <v>0</v>
      </c>
      <c r="AG111" s="453">
        <f t="shared" si="1"/>
        <v>0</v>
      </c>
      <c r="AH111" s="452">
        <f t="shared" si="1"/>
        <v>0</v>
      </c>
      <c r="AI111" s="453">
        <f t="shared" si="1"/>
        <v>0</v>
      </c>
      <c r="AJ111" s="454">
        <f t="shared" si="1"/>
        <v>0</v>
      </c>
      <c r="AK111" s="248"/>
    </row>
    <row r="112" spans="1:37" ht="16.5">
      <c r="A112" s="7"/>
      <c r="B112" s="7"/>
      <c r="C112" s="246"/>
      <c r="D112" s="8"/>
      <c r="E112" s="247"/>
      <c r="F112" s="8"/>
      <c r="G112" s="7"/>
      <c r="H112" s="7"/>
      <c r="I112" s="7"/>
      <c r="J112" s="444">
        <v>16</v>
      </c>
      <c r="K112" s="192" t="s">
        <v>1176</v>
      </c>
      <c r="L112" s="458"/>
      <c r="M112" s="445"/>
      <c r="N112" s="445"/>
      <c r="O112" s="445"/>
      <c r="P112" s="445"/>
      <c r="Q112" s="445" t="s">
        <v>2467</v>
      </c>
      <c r="R112" s="445"/>
      <c r="S112" s="447">
        <f>ASM2d_i_Charge_PO4-ASM2d_i_Charge_XPAO.PP</f>
        <v>-0.016129032258064516</v>
      </c>
      <c r="T112" s="445"/>
      <c r="U112" s="445"/>
      <c r="V112" s="445"/>
      <c r="W112" s="445"/>
      <c r="X112" s="445"/>
      <c r="Y112" s="445" t="s">
        <v>2488</v>
      </c>
      <c r="Z112" s="445"/>
      <c r="AA112" s="445"/>
      <c r="AB112" s="445">
        <f>-ASM2d_i_TSS.XPP</f>
        <v>-3.23</v>
      </c>
      <c r="AC112" s="445"/>
      <c r="AD112" s="448"/>
      <c r="AE112" s="156"/>
      <c r="AF112" s="452">
        <f t="shared" si="1"/>
        <v>0</v>
      </c>
      <c r="AG112" s="453">
        <f t="shared" si="1"/>
        <v>0</v>
      </c>
      <c r="AH112" s="452">
        <f t="shared" si="1"/>
        <v>0</v>
      </c>
      <c r="AI112" s="453">
        <f t="shared" si="1"/>
        <v>0</v>
      </c>
      <c r="AJ112" s="454">
        <f t="shared" si="1"/>
        <v>0</v>
      </c>
      <c r="AK112" s="248"/>
    </row>
    <row r="113" spans="1:37" ht="16.5">
      <c r="A113" s="7"/>
      <c r="B113" s="7"/>
      <c r="C113" s="246"/>
      <c r="D113" s="8"/>
      <c r="E113" s="247"/>
      <c r="F113" s="8"/>
      <c r="G113" s="7"/>
      <c r="H113" s="7"/>
      <c r="I113" s="7"/>
      <c r="J113" s="444">
        <v>17</v>
      </c>
      <c r="K113" s="192" t="s">
        <v>1180</v>
      </c>
      <c r="L113" s="458"/>
      <c r="M113" s="445"/>
      <c r="N113" s="445">
        <f>1</f>
        <v>1</v>
      </c>
      <c r="O113" s="445"/>
      <c r="P113" s="445"/>
      <c r="Q113" s="445"/>
      <c r="R113" s="445"/>
      <c r="S113" s="447">
        <f>ASM2d_i_Charge_Ac</f>
        <v>-0.015625</v>
      </c>
      <c r="T113" s="445"/>
      <c r="U113" s="445"/>
      <c r="V113" s="445"/>
      <c r="W113" s="445"/>
      <c r="X113" s="445"/>
      <c r="Y113" s="445"/>
      <c r="Z113" s="445" t="s">
        <v>2488</v>
      </c>
      <c r="AA113" s="445"/>
      <c r="AB113" s="445">
        <f>-ASM2d_i_TSS.XPHA</f>
        <v>-0.6</v>
      </c>
      <c r="AC113" s="445"/>
      <c r="AD113" s="448"/>
      <c r="AE113" s="156"/>
      <c r="AF113" s="452">
        <f t="shared" si="1"/>
        <v>0</v>
      </c>
      <c r="AG113" s="453">
        <f t="shared" si="1"/>
        <v>0</v>
      </c>
      <c r="AH113" s="452">
        <f t="shared" si="1"/>
        <v>0</v>
      </c>
      <c r="AI113" s="453">
        <f t="shared" si="1"/>
        <v>0</v>
      </c>
      <c r="AJ113" s="454">
        <f t="shared" si="1"/>
        <v>0</v>
      </c>
      <c r="AK113" s="248"/>
    </row>
    <row r="114" spans="1:37" ht="16.5">
      <c r="A114" s="7"/>
      <c r="B114" s="7"/>
      <c r="C114" s="246"/>
      <c r="D114" s="8"/>
      <c r="E114" s="247"/>
      <c r="F114" s="8"/>
      <c r="G114" s="7"/>
      <c r="H114" s="7"/>
      <c r="I114" s="7"/>
      <c r="J114" s="444">
        <v>18</v>
      </c>
      <c r="K114" s="192" t="s">
        <v>1184</v>
      </c>
      <c r="L114" s="458">
        <f>-(-ASM2d_i_COD_NOx-ASM2d_Y_A)/ASM2d_Y_A</f>
        <v>-18.047619047619047</v>
      </c>
      <c r="M114" s="445"/>
      <c r="N114" s="445"/>
      <c r="O114" s="458">
        <f>-ASM2d_i_N.BM-1/ASM2d_Y_A</f>
        <v>-4.236666666666667</v>
      </c>
      <c r="P114" s="458">
        <f>1/ASM2d_Y_A</f>
        <v>4.166666666666667</v>
      </c>
      <c r="Q114" s="445">
        <f>-ASM2d_i_P.BM</f>
        <v>-0.02</v>
      </c>
      <c r="R114" s="445"/>
      <c r="S114" s="447">
        <f>(-ASM2d_i_N.BM-1/ASM2d_Y_A)*ASM2d_i_Charge_NHx+1/ASM2d_Y_A*ASM2d_i_Charge_NOx-ASM2d_i_P.BM*ASM2d_i_Charge_PO4</f>
        <v>-0.5992703533026114</v>
      </c>
      <c r="T114" s="445"/>
      <c r="U114" s="445"/>
      <c r="V114" s="445"/>
      <c r="W114" s="445"/>
      <c r="X114" s="445"/>
      <c r="Y114" s="445"/>
      <c r="Z114" s="445"/>
      <c r="AA114" s="445" t="s">
        <v>2467</v>
      </c>
      <c r="AB114" s="445">
        <f>ASM2d_i_TSS.BM</f>
        <v>0.9</v>
      </c>
      <c r="AC114" s="445"/>
      <c r="AD114" s="448"/>
      <c r="AE114" s="156"/>
      <c r="AF114" s="452">
        <f t="shared" si="1"/>
        <v>0</v>
      </c>
      <c r="AG114" s="453">
        <f t="shared" si="1"/>
        <v>-2.7755575615628914E-16</v>
      </c>
      <c r="AH114" s="452">
        <f t="shared" si="1"/>
        <v>0</v>
      </c>
      <c r="AI114" s="453">
        <f t="shared" si="1"/>
        <v>0</v>
      </c>
      <c r="AJ114" s="454">
        <f t="shared" si="1"/>
        <v>0</v>
      </c>
      <c r="AK114" s="248"/>
    </row>
    <row r="115" spans="1:37" ht="15">
      <c r="A115" s="7"/>
      <c r="B115" s="7"/>
      <c r="C115" s="246"/>
      <c r="D115" s="8"/>
      <c r="E115" s="247"/>
      <c r="F115" s="8"/>
      <c r="G115" s="7"/>
      <c r="H115" s="7"/>
      <c r="I115" s="7"/>
      <c r="J115" s="444">
        <v>19</v>
      </c>
      <c r="K115" s="192" t="s">
        <v>2494</v>
      </c>
      <c r="L115" s="445"/>
      <c r="M115" s="445"/>
      <c r="N115" s="445"/>
      <c r="O115" s="445">
        <f>-(ASM2d_i_N.XI*ASM2d_f_XI+ASM2d_i_N.XS*(1-ASM2d_f_XI)-ASM2d_i_N.BM)</f>
        <v>0.032</v>
      </c>
      <c r="P115" s="445"/>
      <c r="Q115" s="445">
        <f>-(ASM2d_f_XI*ASM2d_i_P.XI+(1-ASM2d_f_XI)*ASM2d_i_P.XS-ASM2d_i_P.BM)</f>
        <v>0.009999999999999998</v>
      </c>
      <c r="R115" s="445"/>
      <c r="S115" s="447">
        <f>ASM2d_i_Charge_NHx*ASM2d_v_19_NH4+ASM2d_i_Charge_PO4*ASM2d_v_19_PO4</f>
        <v>0.00180184331797235</v>
      </c>
      <c r="T115" s="445"/>
      <c r="U115" s="445">
        <f>ASM2d_f_XI</f>
        <v>0.1</v>
      </c>
      <c r="V115" s="445">
        <f>1-ASM2d_f_XI</f>
        <v>0.9</v>
      </c>
      <c r="W115" s="445"/>
      <c r="X115" s="445"/>
      <c r="Y115" s="445"/>
      <c r="Z115" s="445"/>
      <c r="AA115" s="445" t="s">
        <v>2488</v>
      </c>
      <c r="AB115" s="445">
        <f>ASM2d_f_XI*ASM2d_i_TSS.XI+(1-ASM2d_f_XI)*ASM2d_i_TSS.XS-ASM2d_i_TSS.BM</f>
        <v>-0.15000000000000002</v>
      </c>
      <c r="AC115" s="445"/>
      <c r="AD115" s="448"/>
      <c r="AE115" s="156"/>
      <c r="AF115" s="452">
        <f t="shared" si="1"/>
        <v>0</v>
      </c>
      <c r="AG115" s="453">
        <f t="shared" si="1"/>
        <v>0</v>
      </c>
      <c r="AH115" s="452">
        <f t="shared" si="1"/>
        <v>0</v>
      </c>
      <c r="AI115" s="453">
        <f t="shared" si="1"/>
        <v>0</v>
      </c>
      <c r="AJ115" s="454">
        <f t="shared" si="1"/>
        <v>0</v>
      </c>
      <c r="AK115" s="248"/>
    </row>
    <row r="116" spans="1:37" ht="15">
      <c r="A116" s="7"/>
      <c r="B116" s="7"/>
      <c r="C116" s="246"/>
      <c r="D116" s="8"/>
      <c r="E116" s="247"/>
      <c r="F116" s="8"/>
      <c r="G116" s="7"/>
      <c r="H116" s="7"/>
      <c r="I116" s="7"/>
      <c r="J116" s="444">
        <v>20</v>
      </c>
      <c r="K116" s="192" t="s">
        <v>2524</v>
      </c>
      <c r="L116" s="445"/>
      <c r="M116" s="445"/>
      <c r="N116" s="445"/>
      <c r="O116" s="445"/>
      <c r="P116" s="445"/>
      <c r="Q116" s="445" t="s">
        <v>2488</v>
      </c>
      <c r="R116" s="445"/>
      <c r="S116" s="447">
        <f>-ASM2d_i_Charge_PO4</f>
        <v>0.04838709677419355</v>
      </c>
      <c r="T116" s="445"/>
      <c r="U116" s="445"/>
      <c r="V116" s="445"/>
      <c r="W116" s="445"/>
      <c r="X116" s="445"/>
      <c r="Y116" s="445"/>
      <c r="Z116" s="445"/>
      <c r="AA116" s="445"/>
      <c r="AB116" s="458">
        <f>ASM2d_f_MeOH_PO4.MW+ASM2d_f_MeP_PO4.MW</f>
        <v>1.4193548387096784</v>
      </c>
      <c r="AC116" s="458">
        <f>ASM2d_f_MeOH_PO4.MW</f>
        <v>-3.4451612903225803</v>
      </c>
      <c r="AD116" s="473">
        <f>ASM2d_f_MeP_PO4.MW</f>
        <v>4.864516129032259</v>
      </c>
      <c r="AE116" s="156"/>
      <c r="AF116" s="452">
        <f t="shared" si="1"/>
        <v>0</v>
      </c>
      <c r="AG116" s="453">
        <f t="shared" si="1"/>
        <v>0</v>
      </c>
      <c r="AH116" s="452">
        <f t="shared" si="1"/>
        <v>0</v>
      </c>
      <c r="AI116" s="453">
        <f t="shared" si="1"/>
        <v>0</v>
      </c>
      <c r="AJ116" s="454">
        <f t="shared" si="1"/>
        <v>0</v>
      </c>
      <c r="AK116" s="248"/>
    </row>
    <row r="117" spans="1:37" ht="15.75" thickBot="1">
      <c r="A117" s="7"/>
      <c r="B117" s="7"/>
      <c r="C117" s="246"/>
      <c r="D117" s="8"/>
      <c r="E117" s="247"/>
      <c r="F117" s="8"/>
      <c r="G117" s="7"/>
      <c r="H117" s="7"/>
      <c r="I117" s="7"/>
      <c r="J117" s="474">
        <v>21</v>
      </c>
      <c r="K117" s="211" t="s">
        <v>2527</v>
      </c>
      <c r="L117" s="475"/>
      <c r="M117" s="475"/>
      <c r="N117" s="475"/>
      <c r="O117" s="475"/>
      <c r="P117" s="475"/>
      <c r="Q117" s="475" t="s">
        <v>2467</v>
      </c>
      <c r="R117" s="475"/>
      <c r="S117" s="476">
        <f>ASM2d_i_Charge_PO4</f>
        <v>-0.04838709677419355</v>
      </c>
      <c r="T117" s="475"/>
      <c r="U117" s="475"/>
      <c r="V117" s="475"/>
      <c r="W117" s="475"/>
      <c r="X117" s="475"/>
      <c r="Y117" s="475"/>
      <c r="Z117" s="475"/>
      <c r="AA117" s="475"/>
      <c r="AB117" s="477">
        <f>-(ASM2d_f_MeOH_PO4.MW+ASM2d_f_MeP_PO4.MW)</f>
        <v>-1.4193548387096784</v>
      </c>
      <c r="AC117" s="477">
        <f>-ASM2d_f_MeOH_PO4.MW</f>
        <v>3.4451612903225803</v>
      </c>
      <c r="AD117" s="478">
        <f>-ASM2d_f_MeP_PO4.MW</f>
        <v>-4.864516129032259</v>
      </c>
      <c r="AE117" s="156"/>
      <c r="AF117" s="479">
        <f t="shared" si="1"/>
        <v>0</v>
      </c>
      <c r="AG117" s="480">
        <f t="shared" si="1"/>
        <v>0</v>
      </c>
      <c r="AH117" s="479">
        <f t="shared" si="1"/>
        <v>0</v>
      </c>
      <c r="AI117" s="480">
        <f t="shared" si="1"/>
        <v>0</v>
      </c>
      <c r="AJ117" s="481">
        <f t="shared" si="1"/>
        <v>0</v>
      </c>
      <c r="AK117" s="248"/>
    </row>
    <row r="118" spans="1:37" ht="15">
      <c r="A118" s="7"/>
      <c r="B118" s="7"/>
      <c r="C118" s="246"/>
      <c r="D118" s="8"/>
      <c r="E118" s="247"/>
      <c r="F118" s="8"/>
      <c r="G118" s="7"/>
      <c r="H118" s="7"/>
      <c r="I118" s="7"/>
      <c r="J118" s="412"/>
      <c r="K118" s="412"/>
      <c r="L118" s="412"/>
      <c r="M118" s="412"/>
      <c r="N118" s="412"/>
      <c r="O118" s="412"/>
      <c r="P118" s="412"/>
      <c r="Q118" s="412"/>
      <c r="R118" s="412"/>
      <c r="S118" s="412"/>
      <c r="T118" s="412"/>
      <c r="U118" s="412"/>
      <c r="V118" s="412"/>
      <c r="W118" s="412"/>
      <c r="X118" s="412"/>
      <c r="Y118" s="412"/>
      <c r="Z118" s="412"/>
      <c r="AA118" s="412"/>
      <c r="AB118" s="412"/>
      <c r="AC118" s="412"/>
      <c r="AD118" s="412"/>
      <c r="AE118" s="412"/>
      <c r="AF118" s="412"/>
      <c r="AG118" s="412"/>
      <c r="AH118" s="412"/>
      <c r="AI118" s="412"/>
      <c r="AJ118" s="482"/>
      <c r="AK118" s="248"/>
    </row>
    <row r="119" spans="1:37" ht="15.75" thickBot="1">
      <c r="A119" s="7"/>
      <c r="B119" s="7"/>
      <c r="C119" s="246"/>
      <c r="D119" s="8"/>
      <c r="E119" s="247"/>
      <c r="F119" s="8"/>
      <c r="G119" s="7"/>
      <c r="H119" s="7"/>
      <c r="I119" s="7"/>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248"/>
      <c r="AK119" s="248"/>
    </row>
    <row r="120" spans="1:37" ht="30.75" thickBot="1">
      <c r="A120" s="7"/>
      <c r="B120" s="7"/>
      <c r="C120" s="246"/>
      <c r="D120" s="8"/>
      <c r="E120" s="247"/>
      <c r="F120" s="8"/>
      <c r="G120" s="7"/>
      <c r="H120" s="7"/>
      <c r="I120" s="7"/>
      <c r="J120" s="1331" t="s">
        <v>2421</v>
      </c>
      <c r="K120" s="1332"/>
      <c r="L120" s="1332"/>
      <c r="M120" s="1332"/>
      <c r="N120" s="1332"/>
      <c r="O120" s="1332"/>
      <c r="P120" s="1332"/>
      <c r="Q120" s="1332"/>
      <c r="R120" s="1332"/>
      <c r="S120" s="1332"/>
      <c r="T120" s="1332"/>
      <c r="U120" s="1332"/>
      <c r="V120" s="1332"/>
      <c r="W120" s="1332"/>
      <c r="X120" s="1332"/>
      <c r="Y120" s="1332"/>
      <c r="Z120" s="1332"/>
      <c r="AA120" s="1332"/>
      <c r="AB120" s="1332"/>
      <c r="AC120" s="1332"/>
      <c r="AD120" s="1332"/>
      <c r="AE120" s="1332"/>
      <c r="AF120" s="1332"/>
      <c r="AG120" s="1332"/>
      <c r="AH120" s="1332"/>
      <c r="AI120" s="1332"/>
      <c r="AJ120" s="1333"/>
      <c r="AK120" s="248"/>
    </row>
    <row r="121" spans="1:37" ht="15">
      <c r="A121" s="7"/>
      <c r="B121" s="7"/>
      <c r="C121" s="246"/>
      <c r="D121" s="8"/>
      <c r="E121" s="247"/>
      <c r="F121" s="8"/>
      <c r="G121" s="7"/>
      <c r="H121" s="7"/>
      <c r="I121" s="7"/>
      <c r="J121" s="8"/>
      <c r="K121" s="8"/>
      <c r="L121" s="8"/>
      <c r="M121" s="8"/>
      <c r="N121" s="8"/>
      <c r="O121" s="8"/>
      <c r="P121" s="8"/>
      <c r="Q121" s="8"/>
      <c r="R121" s="8"/>
      <c r="S121" s="8"/>
      <c r="T121" s="8"/>
      <c r="U121" s="8"/>
      <c r="V121" s="8"/>
      <c r="W121" s="8"/>
      <c r="X121" s="8"/>
      <c r="Y121" s="9"/>
      <c r="Z121" s="9"/>
      <c r="AA121" s="9"/>
      <c r="AB121" s="9"/>
      <c r="AC121" s="9"/>
      <c r="AD121" s="9"/>
      <c r="AE121" s="9"/>
      <c r="AF121" s="9"/>
      <c r="AG121" s="9"/>
      <c r="AH121" s="9"/>
      <c r="AI121" s="9"/>
      <c r="AJ121" s="248"/>
      <c r="AK121" s="248"/>
    </row>
    <row r="122" spans="1:37" ht="18.75" thickBot="1">
      <c r="A122" s="7"/>
      <c r="B122" s="7"/>
      <c r="C122" s="246"/>
      <c r="D122" s="8"/>
      <c r="E122" s="247"/>
      <c r="F122" s="8"/>
      <c r="G122" s="7"/>
      <c r="H122" s="7"/>
      <c r="I122" s="7"/>
      <c r="J122" s="8"/>
      <c r="K122" s="8"/>
      <c r="L122" s="8"/>
      <c r="M122" s="1334" t="s">
        <v>2422</v>
      </c>
      <c r="N122" s="1334"/>
      <c r="O122" s="1334"/>
      <c r="P122" s="1334"/>
      <c r="Q122" s="1334"/>
      <c r="R122" s="1334"/>
      <c r="S122" s="1334" t="s">
        <v>2423</v>
      </c>
      <c r="T122" s="1334"/>
      <c r="U122" s="1334"/>
      <c r="V122" s="1334"/>
      <c r="W122" s="1334"/>
      <c r="X122" s="8"/>
      <c r="Y122" s="9"/>
      <c r="Z122" s="9"/>
      <c r="AA122" s="9"/>
      <c r="AB122" s="9"/>
      <c r="AC122" s="9"/>
      <c r="AD122" s="9"/>
      <c r="AE122" s="9"/>
      <c r="AF122" s="9"/>
      <c r="AG122" s="9"/>
      <c r="AH122" s="9"/>
      <c r="AI122" s="9"/>
      <c r="AJ122" s="248"/>
      <c r="AK122" s="248"/>
    </row>
    <row r="123" spans="1:37" ht="15.75" thickBot="1">
      <c r="A123" s="7"/>
      <c r="B123" s="7"/>
      <c r="C123" s="246"/>
      <c r="D123" s="8"/>
      <c r="E123" s="247"/>
      <c r="F123" s="8"/>
      <c r="G123" s="7"/>
      <c r="H123" s="7"/>
      <c r="I123" s="7"/>
      <c r="J123" s="8"/>
      <c r="K123" s="8"/>
      <c r="L123" s="221"/>
      <c r="M123" s="1328" t="s">
        <v>2424</v>
      </c>
      <c r="N123" s="1329"/>
      <c r="O123" s="1329"/>
      <c r="P123" s="1329"/>
      <c r="Q123" s="1329"/>
      <c r="R123" s="1329"/>
      <c r="S123" s="1329" t="s">
        <v>2425</v>
      </c>
      <c r="T123" s="1329"/>
      <c r="U123" s="1329"/>
      <c r="V123" s="1329"/>
      <c r="W123" s="1329"/>
      <c r="X123" s="8"/>
      <c r="Y123" s="9"/>
      <c r="Z123" s="9"/>
      <c r="AA123" s="9"/>
      <c r="AB123" s="9"/>
      <c r="AC123" s="9"/>
      <c r="AD123" s="9"/>
      <c r="AE123" s="9"/>
      <c r="AF123" s="9"/>
      <c r="AG123" s="9"/>
      <c r="AH123" s="9"/>
      <c r="AI123" s="9"/>
      <c r="AJ123" s="248"/>
      <c r="AK123" s="248"/>
    </row>
    <row r="124" spans="1:37" ht="15.75" thickBot="1">
      <c r="A124" s="7"/>
      <c r="B124" s="7"/>
      <c r="C124" s="246"/>
      <c r="D124" s="8"/>
      <c r="E124" s="247"/>
      <c r="F124" s="8"/>
      <c r="G124" s="7"/>
      <c r="H124" s="7"/>
      <c r="I124" s="7"/>
      <c r="J124" s="8"/>
      <c r="K124" s="8"/>
      <c r="L124" s="222"/>
      <c r="M124" s="1328" t="s">
        <v>2426</v>
      </c>
      <c r="N124" s="1329"/>
      <c r="O124" s="1329"/>
      <c r="P124" s="1329"/>
      <c r="Q124" s="1329"/>
      <c r="R124" s="1329"/>
      <c r="S124" s="1329" t="s">
        <v>2427</v>
      </c>
      <c r="T124" s="1329"/>
      <c r="U124" s="1329"/>
      <c r="V124" s="1329"/>
      <c r="W124" s="1329"/>
      <c r="X124" s="8"/>
      <c r="Y124" s="9"/>
      <c r="Z124" s="9"/>
      <c r="AA124" s="9"/>
      <c r="AB124" s="9"/>
      <c r="AC124" s="9"/>
      <c r="AD124" s="9"/>
      <c r="AE124" s="9"/>
      <c r="AF124" s="9"/>
      <c r="AG124" s="9"/>
      <c r="AH124" s="9"/>
      <c r="AI124" s="9"/>
      <c r="AJ124" s="248"/>
      <c r="AK124" s="248"/>
    </row>
    <row r="125" spans="1:37" ht="15.75" thickBot="1">
      <c r="A125" s="7"/>
      <c r="B125" s="7"/>
      <c r="C125" s="246"/>
      <c r="D125" s="8"/>
      <c r="E125" s="247"/>
      <c r="F125" s="8"/>
      <c r="G125" s="7"/>
      <c r="H125" s="7"/>
      <c r="I125" s="7"/>
      <c r="J125" s="8"/>
      <c r="K125" s="8"/>
      <c r="L125" s="223"/>
      <c r="M125" s="1328" t="s">
        <v>2428</v>
      </c>
      <c r="N125" s="1329"/>
      <c r="O125" s="1329"/>
      <c r="P125" s="1329"/>
      <c r="Q125" s="1329"/>
      <c r="R125" s="1329"/>
      <c r="S125" s="1329" t="s">
        <v>2425</v>
      </c>
      <c r="T125" s="1329"/>
      <c r="U125" s="1329"/>
      <c r="V125" s="1329"/>
      <c r="W125" s="1329"/>
      <c r="X125" s="8"/>
      <c r="Y125" s="9"/>
      <c r="Z125" s="9"/>
      <c r="AA125" s="9"/>
      <c r="AB125" s="9"/>
      <c r="AC125" s="9"/>
      <c r="AD125" s="9"/>
      <c r="AE125" s="9"/>
      <c r="AF125" s="9"/>
      <c r="AG125" s="9"/>
      <c r="AH125" s="9"/>
      <c r="AI125" s="9"/>
      <c r="AJ125" s="248"/>
      <c r="AK125" s="248"/>
    </row>
    <row r="126" spans="1:37" ht="15.75" thickBot="1">
      <c r="A126" s="7"/>
      <c r="B126" s="7"/>
      <c r="C126" s="246"/>
      <c r="D126" s="8"/>
      <c r="E126" s="247"/>
      <c r="F126" s="8"/>
      <c r="G126" s="7"/>
      <c r="H126" s="7"/>
      <c r="I126" s="7"/>
      <c r="J126" s="8"/>
      <c r="K126" s="8"/>
      <c r="L126" s="224"/>
      <c r="M126" s="1328" t="s">
        <v>2429</v>
      </c>
      <c r="N126" s="1329"/>
      <c r="O126" s="1329"/>
      <c r="P126" s="1329"/>
      <c r="Q126" s="1329"/>
      <c r="R126" s="1329"/>
      <c r="S126" s="1329" t="s">
        <v>2430</v>
      </c>
      <c r="T126" s="1329"/>
      <c r="U126" s="1329"/>
      <c r="V126" s="1329"/>
      <c r="W126" s="1329"/>
      <c r="X126" s="8"/>
      <c r="Y126" s="9"/>
      <c r="Z126" s="9"/>
      <c r="AA126" s="9"/>
      <c r="AB126" s="9"/>
      <c r="AC126" s="9"/>
      <c r="AD126" s="9"/>
      <c r="AE126" s="9"/>
      <c r="AF126" s="9"/>
      <c r="AG126" s="9"/>
      <c r="AH126" s="9"/>
      <c r="AI126" s="9"/>
      <c r="AJ126" s="248"/>
      <c r="AK126" s="248"/>
    </row>
    <row r="127" spans="1:37" ht="15.75" thickBot="1">
      <c r="A127" s="7"/>
      <c r="B127" s="7"/>
      <c r="C127" s="246"/>
      <c r="D127" s="8"/>
      <c r="E127" s="247"/>
      <c r="F127" s="8"/>
      <c r="G127" s="7"/>
      <c r="H127" s="7"/>
      <c r="I127" s="7"/>
      <c r="J127" s="8"/>
      <c r="K127" s="8"/>
      <c r="L127" s="8"/>
      <c r="M127" s="8"/>
      <c r="N127" s="8"/>
      <c r="O127" s="8"/>
      <c r="P127" s="8"/>
      <c r="Q127" s="8"/>
      <c r="R127" s="8"/>
      <c r="S127" s="8"/>
      <c r="T127" s="8"/>
      <c r="U127" s="8"/>
      <c r="V127" s="8"/>
      <c r="W127" s="8"/>
      <c r="X127" s="8"/>
      <c r="Y127" s="9"/>
      <c r="Z127" s="9"/>
      <c r="AA127" s="9"/>
      <c r="AB127" s="9"/>
      <c r="AC127" s="9"/>
      <c r="AD127" s="9"/>
      <c r="AE127" s="9"/>
      <c r="AF127" s="9"/>
      <c r="AG127" s="9"/>
      <c r="AH127" s="9"/>
      <c r="AI127" s="9"/>
      <c r="AJ127" s="248"/>
      <c r="AK127" s="248"/>
    </row>
    <row r="128" spans="1:37" ht="15">
      <c r="A128" s="7"/>
      <c r="B128" s="7"/>
      <c r="C128" s="246"/>
      <c r="D128" s="8"/>
      <c r="E128" s="247"/>
      <c r="F128" s="8"/>
      <c r="G128" s="7"/>
      <c r="H128" s="7"/>
      <c r="I128" s="7"/>
      <c r="J128" s="257"/>
      <c r="K128" s="258"/>
      <c r="L128" s="483" t="s">
        <v>2626</v>
      </c>
      <c r="M128" s="483" t="s">
        <v>2627</v>
      </c>
      <c r="N128" s="483" t="s">
        <v>2629</v>
      </c>
      <c r="O128" s="483" t="s">
        <v>2631</v>
      </c>
      <c r="P128" s="483" t="s">
        <v>2633</v>
      </c>
      <c r="Q128" s="483" t="s">
        <v>2636</v>
      </c>
      <c r="R128" s="483" t="s">
        <v>2432</v>
      </c>
      <c r="S128" s="483" t="s">
        <v>2444</v>
      </c>
      <c r="T128" s="483" t="s">
        <v>2445</v>
      </c>
      <c r="U128" s="483" t="s">
        <v>2434</v>
      </c>
      <c r="V128" s="483" t="s">
        <v>2435</v>
      </c>
      <c r="W128" s="483" t="s">
        <v>2648</v>
      </c>
      <c r="X128" s="484" t="s">
        <v>2651</v>
      </c>
      <c r="Y128" s="484" t="s">
        <v>2654</v>
      </c>
      <c r="Z128" s="484" t="s">
        <v>2657</v>
      </c>
      <c r="AA128" s="484" t="s">
        <v>2660</v>
      </c>
      <c r="AB128" s="484" t="s">
        <v>2662</v>
      </c>
      <c r="AC128" s="484" t="s">
        <v>2664</v>
      </c>
      <c r="AD128" s="485" t="s">
        <v>2666</v>
      </c>
      <c r="AE128" s="9"/>
      <c r="AF128" s="9"/>
      <c r="AG128" s="9"/>
      <c r="AH128" s="9"/>
      <c r="AI128" s="9"/>
      <c r="AJ128" s="248"/>
      <c r="AK128" s="248"/>
    </row>
    <row r="129" spans="1:37" ht="15">
      <c r="A129" s="7"/>
      <c r="B129" s="7"/>
      <c r="C129" s="246"/>
      <c r="D129" s="8"/>
      <c r="E129" s="247"/>
      <c r="F129" s="8"/>
      <c r="G129" s="7"/>
      <c r="H129" s="7"/>
      <c r="I129" s="7"/>
      <c r="J129" s="486" t="s">
        <v>2467</v>
      </c>
      <c r="K129" s="192" t="s">
        <v>2468</v>
      </c>
      <c r="L129" s="487"/>
      <c r="M129" s="488"/>
      <c r="N129" s="488"/>
      <c r="O129" s="488"/>
      <c r="P129" s="488"/>
      <c r="Q129" s="488"/>
      <c r="R129" s="488"/>
      <c r="S129" s="489"/>
      <c r="T129" s="488"/>
      <c r="U129" s="488"/>
      <c r="V129" s="490"/>
      <c r="W129" s="491"/>
      <c r="X129" s="492"/>
      <c r="Y129" s="493"/>
      <c r="Z129" s="493"/>
      <c r="AA129" s="493"/>
      <c r="AB129" s="493"/>
      <c r="AC129" s="493"/>
      <c r="AD129" s="494"/>
      <c r="AE129" s="9"/>
      <c r="AF129" s="9"/>
      <c r="AG129" s="9"/>
      <c r="AH129" s="9"/>
      <c r="AI129" s="9"/>
      <c r="AJ129" s="248"/>
      <c r="AK129" s="248"/>
    </row>
    <row r="130" spans="1:37" ht="15">
      <c r="A130" s="7"/>
      <c r="B130" s="7"/>
      <c r="C130" s="246"/>
      <c r="D130" s="8"/>
      <c r="E130" s="247"/>
      <c r="F130" s="8"/>
      <c r="G130" s="7"/>
      <c r="H130" s="7"/>
      <c r="I130" s="7"/>
      <c r="J130" s="486" t="s">
        <v>2473</v>
      </c>
      <c r="K130" s="192" t="s">
        <v>2474</v>
      </c>
      <c r="L130" s="495"/>
      <c r="M130" s="488"/>
      <c r="N130" s="488"/>
      <c r="O130" s="488"/>
      <c r="P130" s="487"/>
      <c r="Q130" s="488"/>
      <c r="R130" s="488"/>
      <c r="S130" s="489"/>
      <c r="T130" s="488"/>
      <c r="U130" s="488"/>
      <c r="V130" s="490"/>
      <c r="W130" s="491"/>
      <c r="X130" s="492"/>
      <c r="Y130" s="493"/>
      <c r="Z130" s="493"/>
      <c r="AA130" s="493"/>
      <c r="AB130" s="493"/>
      <c r="AC130" s="493"/>
      <c r="AD130" s="494"/>
      <c r="AE130" s="9"/>
      <c r="AF130" s="9"/>
      <c r="AG130" s="9"/>
      <c r="AH130" s="9"/>
      <c r="AI130" s="9"/>
      <c r="AJ130" s="248"/>
      <c r="AK130" s="248"/>
    </row>
    <row r="131" spans="1:37" ht="15">
      <c r="A131" s="7"/>
      <c r="B131" s="7"/>
      <c r="C131" s="246"/>
      <c r="D131" s="8"/>
      <c r="E131" s="247"/>
      <c r="F131" s="8"/>
      <c r="G131" s="7"/>
      <c r="H131" s="7"/>
      <c r="I131" s="7"/>
      <c r="J131" s="486" t="s">
        <v>2475</v>
      </c>
      <c r="K131" s="192" t="s">
        <v>2476</v>
      </c>
      <c r="L131" s="495"/>
      <c r="M131" s="488"/>
      <c r="N131" s="488"/>
      <c r="O131" s="488"/>
      <c r="P131" s="495"/>
      <c r="Q131" s="488"/>
      <c r="R131" s="488"/>
      <c r="S131" s="489"/>
      <c r="T131" s="488"/>
      <c r="U131" s="488"/>
      <c r="V131" s="490"/>
      <c r="W131" s="491"/>
      <c r="X131" s="492"/>
      <c r="Y131" s="493"/>
      <c r="Z131" s="493"/>
      <c r="AA131" s="493"/>
      <c r="AB131" s="493"/>
      <c r="AC131" s="493"/>
      <c r="AD131" s="494"/>
      <c r="AE131" s="9"/>
      <c r="AF131" s="9"/>
      <c r="AG131" s="9"/>
      <c r="AH131" s="9"/>
      <c r="AI131" s="9"/>
      <c r="AJ131" s="248"/>
      <c r="AK131" s="248"/>
    </row>
    <row r="132" spans="1:37" ht="16.5">
      <c r="A132" s="7"/>
      <c r="B132" s="7"/>
      <c r="C132" s="246"/>
      <c r="D132" s="8"/>
      <c r="E132" s="247"/>
      <c r="F132" s="8"/>
      <c r="G132" s="7"/>
      <c r="H132" s="7"/>
      <c r="I132" s="7"/>
      <c r="J132" s="486" t="s">
        <v>2477</v>
      </c>
      <c r="K132" s="192" t="s">
        <v>1116</v>
      </c>
      <c r="L132" s="490"/>
      <c r="M132" s="490"/>
      <c r="N132" s="488"/>
      <c r="O132" s="490"/>
      <c r="P132" s="488"/>
      <c r="Q132" s="490"/>
      <c r="R132" s="488"/>
      <c r="S132" s="490"/>
      <c r="T132" s="488"/>
      <c r="U132" s="488"/>
      <c r="V132" s="488"/>
      <c r="W132" s="491"/>
      <c r="X132" s="493"/>
      <c r="Y132" s="493"/>
      <c r="Z132" s="493"/>
      <c r="AA132" s="493"/>
      <c r="AB132" s="493"/>
      <c r="AC132" s="493"/>
      <c r="AD132" s="494"/>
      <c r="AE132" s="9"/>
      <c r="AF132" s="9"/>
      <c r="AG132" s="9"/>
      <c r="AH132" s="9"/>
      <c r="AI132" s="9"/>
      <c r="AJ132" s="248"/>
      <c r="AK132" s="248"/>
    </row>
    <row r="133" spans="1:37" ht="16.5">
      <c r="A133" s="7"/>
      <c r="B133" s="7"/>
      <c r="C133" s="246"/>
      <c r="D133" s="8"/>
      <c r="E133" s="247"/>
      <c r="F133" s="8"/>
      <c r="G133" s="7"/>
      <c r="H133" s="7"/>
      <c r="I133" s="7"/>
      <c r="J133" s="486" t="s">
        <v>2479</v>
      </c>
      <c r="K133" s="192" t="s">
        <v>1123</v>
      </c>
      <c r="L133" s="490"/>
      <c r="M133" s="488"/>
      <c r="N133" s="490"/>
      <c r="O133" s="490"/>
      <c r="P133" s="488"/>
      <c r="Q133" s="490"/>
      <c r="R133" s="488"/>
      <c r="S133" s="490"/>
      <c r="T133" s="488"/>
      <c r="U133" s="488"/>
      <c r="V133" s="488"/>
      <c r="W133" s="491"/>
      <c r="X133" s="493"/>
      <c r="Y133" s="493"/>
      <c r="Z133" s="493"/>
      <c r="AA133" s="493"/>
      <c r="AB133" s="493"/>
      <c r="AC133" s="493"/>
      <c r="AD133" s="494"/>
      <c r="AE133" s="9"/>
      <c r="AF133" s="9"/>
      <c r="AG133" s="9"/>
      <c r="AH133" s="9"/>
      <c r="AI133" s="9"/>
      <c r="AJ133" s="248"/>
      <c r="AK133" s="248"/>
    </row>
    <row r="134" spans="1:37" ht="16.5">
      <c r="A134" s="7"/>
      <c r="B134" s="7"/>
      <c r="C134" s="246"/>
      <c r="D134" s="8"/>
      <c r="E134" s="247"/>
      <c r="F134" s="8"/>
      <c r="G134" s="7"/>
      <c r="H134" s="7"/>
      <c r="I134" s="7"/>
      <c r="J134" s="486" t="s">
        <v>2482</v>
      </c>
      <c r="K134" s="192" t="s">
        <v>1128</v>
      </c>
      <c r="L134" s="495"/>
      <c r="M134" s="490"/>
      <c r="N134" s="488"/>
      <c r="O134" s="490"/>
      <c r="P134" s="490"/>
      <c r="Q134" s="490"/>
      <c r="R134" s="488"/>
      <c r="S134" s="490"/>
      <c r="T134" s="488"/>
      <c r="U134" s="488"/>
      <c r="V134" s="488"/>
      <c r="W134" s="491"/>
      <c r="X134" s="493"/>
      <c r="Y134" s="493"/>
      <c r="Z134" s="493"/>
      <c r="AA134" s="493"/>
      <c r="AB134" s="493"/>
      <c r="AC134" s="493"/>
      <c r="AD134" s="494"/>
      <c r="AE134" s="9"/>
      <c r="AF134" s="9"/>
      <c r="AG134" s="9"/>
      <c r="AH134" s="9"/>
      <c r="AI134" s="9"/>
      <c r="AJ134" s="248"/>
      <c r="AK134" s="248"/>
    </row>
    <row r="135" spans="1:37" ht="16.5">
      <c r="A135" s="7"/>
      <c r="B135" s="7"/>
      <c r="C135" s="246"/>
      <c r="D135" s="8"/>
      <c r="E135" s="247"/>
      <c r="F135" s="8"/>
      <c r="G135" s="7"/>
      <c r="H135" s="7"/>
      <c r="I135" s="7"/>
      <c r="J135" s="486" t="s">
        <v>2484</v>
      </c>
      <c r="K135" s="192" t="s">
        <v>1134</v>
      </c>
      <c r="L135" s="495"/>
      <c r="M135" s="488"/>
      <c r="N135" s="490"/>
      <c r="O135" s="490"/>
      <c r="P135" s="490"/>
      <c r="Q135" s="490"/>
      <c r="R135" s="488"/>
      <c r="S135" s="490"/>
      <c r="T135" s="488"/>
      <c r="U135" s="488"/>
      <c r="V135" s="488"/>
      <c r="W135" s="491"/>
      <c r="X135" s="493"/>
      <c r="Y135" s="493"/>
      <c r="Z135" s="493"/>
      <c r="AA135" s="493"/>
      <c r="AB135" s="493"/>
      <c r="AC135" s="493"/>
      <c r="AD135" s="494"/>
      <c r="AE135" s="9"/>
      <c r="AF135" s="9"/>
      <c r="AG135" s="9"/>
      <c r="AH135" s="9"/>
      <c r="AI135" s="9"/>
      <c r="AJ135" s="248"/>
      <c r="AK135" s="248"/>
    </row>
    <row r="136" spans="1:37" ht="15">
      <c r="A136" s="7"/>
      <c r="B136" s="7"/>
      <c r="C136" s="246"/>
      <c r="D136" s="8"/>
      <c r="E136" s="247"/>
      <c r="F136" s="8"/>
      <c r="G136" s="7"/>
      <c r="H136" s="7"/>
      <c r="I136" s="7"/>
      <c r="J136" s="486" t="s">
        <v>2486</v>
      </c>
      <c r="K136" s="192" t="s">
        <v>2487</v>
      </c>
      <c r="L136" s="495"/>
      <c r="M136" s="490"/>
      <c r="N136" s="489"/>
      <c r="O136" s="488"/>
      <c r="P136" s="495"/>
      <c r="Q136" s="488"/>
      <c r="R136" s="488"/>
      <c r="S136" s="490"/>
      <c r="T136" s="488"/>
      <c r="U136" s="488"/>
      <c r="V136" s="488"/>
      <c r="W136" s="491"/>
      <c r="X136" s="493"/>
      <c r="Y136" s="493"/>
      <c r="Z136" s="493"/>
      <c r="AA136" s="493"/>
      <c r="AB136" s="493"/>
      <c r="AC136" s="493"/>
      <c r="AD136" s="494"/>
      <c r="AE136" s="9"/>
      <c r="AF136" s="9"/>
      <c r="AG136" s="9"/>
      <c r="AH136" s="9"/>
      <c r="AI136" s="9"/>
      <c r="AJ136" s="248"/>
      <c r="AK136" s="248"/>
    </row>
    <row r="137" spans="1:37" ht="15">
      <c r="A137" s="7"/>
      <c r="B137" s="7"/>
      <c r="C137" s="246"/>
      <c r="D137" s="8"/>
      <c r="E137" s="247"/>
      <c r="F137" s="8"/>
      <c r="G137" s="7"/>
      <c r="H137" s="7"/>
      <c r="I137" s="7"/>
      <c r="J137" s="486" t="s">
        <v>2493</v>
      </c>
      <c r="K137" s="192" t="s">
        <v>2494</v>
      </c>
      <c r="L137" s="488"/>
      <c r="M137" s="488"/>
      <c r="N137" s="488"/>
      <c r="O137" s="488"/>
      <c r="P137" s="488"/>
      <c r="Q137" s="488"/>
      <c r="R137" s="488"/>
      <c r="S137" s="488"/>
      <c r="T137" s="488"/>
      <c r="U137" s="488"/>
      <c r="V137" s="488"/>
      <c r="W137" s="491"/>
      <c r="X137" s="493"/>
      <c r="Y137" s="493"/>
      <c r="Z137" s="493"/>
      <c r="AA137" s="493"/>
      <c r="AB137" s="493"/>
      <c r="AC137" s="493"/>
      <c r="AD137" s="494"/>
      <c r="AE137" s="9"/>
      <c r="AF137" s="9"/>
      <c r="AG137" s="9"/>
      <c r="AH137" s="9"/>
      <c r="AI137" s="9"/>
      <c r="AJ137" s="248"/>
      <c r="AK137" s="248"/>
    </row>
    <row r="138" spans="1:37" ht="16.5">
      <c r="A138" s="7"/>
      <c r="B138" s="7"/>
      <c r="C138" s="246"/>
      <c r="D138" s="8"/>
      <c r="E138" s="247"/>
      <c r="F138" s="8"/>
      <c r="G138" s="7"/>
      <c r="H138" s="7"/>
      <c r="I138" s="7"/>
      <c r="J138" s="486" t="s">
        <v>2499</v>
      </c>
      <c r="K138" s="192" t="s">
        <v>1146</v>
      </c>
      <c r="L138" s="489"/>
      <c r="M138" s="488"/>
      <c r="N138" s="490"/>
      <c r="O138" s="488"/>
      <c r="P138" s="488"/>
      <c r="Q138" s="488"/>
      <c r="R138" s="488"/>
      <c r="S138" s="490"/>
      <c r="T138" s="488"/>
      <c r="U138" s="488"/>
      <c r="V138" s="488"/>
      <c r="W138" s="488"/>
      <c r="X138" s="492"/>
      <c r="Y138" s="496"/>
      <c r="Z138" s="493"/>
      <c r="AA138" s="493"/>
      <c r="AB138" s="493"/>
      <c r="AC138" s="493"/>
      <c r="AD138" s="494"/>
      <c r="AE138" s="9"/>
      <c r="AF138" s="9"/>
      <c r="AG138" s="9"/>
      <c r="AH138" s="9"/>
      <c r="AI138" s="9"/>
      <c r="AJ138" s="248"/>
      <c r="AK138" s="248"/>
    </row>
    <row r="139" spans="1:37" ht="16.5">
      <c r="A139" s="7"/>
      <c r="B139" s="7"/>
      <c r="C139" s="246"/>
      <c r="D139" s="8"/>
      <c r="E139" s="247"/>
      <c r="F139" s="8"/>
      <c r="G139" s="7"/>
      <c r="H139" s="7"/>
      <c r="I139" s="7"/>
      <c r="J139" s="486" t="s">
        <v>2502</v>
      </c>
      <c r="K139" s="192" t="s">
        <v>1151</v>
      </c>
      <c r="L139" s="490"/>
      <c r="M139" s="488"/>
      <c r="N139" s="488"/>
      <c r="O139" s="488"/>
      <c r="P139" s="488"/>
      <c r="Q139" s="490"/>
      <c r="R139" s="488"/>
      <c r="S139" s="490"/>
      <c r="T139" s="488"/>
      <c r="U139" s="488"/>
      <c r="V139" s="488"/>
      <c r="W139" s="488"/>
      <c r="X139" s="492"/>
      <c r="Y139" s="497"/>
      <c r="Z139" s="496"/>
      <c r="AA139" s="493"/>
      <c r="AB139" s="493"/>
      <c r="AC139" s="493"/>
      <c r="AD139" s="494"/>
      <c r="AE139" s="9"/>
      <c r="AF139" s="9"/>
      <c r="AG139" s="9"/>
      <c r="AH139" s="9"/>
      <c r="AI139" s="9"/>
      <c r="AJ139" s="248"/>
      <c r="AK139" s="248"/>
    </row>
    <row r="140" spans="1:37" ht="16.5">
      <c r="A140" s="7"/>
      <c r="B140" s="7"/>
      <c r="C140" s="246"/>
      <c r="D140" s="8"/>
      <c r="E140" s="247"/>
      <c r="F140" s="8"/>
      <c r="G140" s="7"/>
      <c r="H140" s="7"/>
      <c r="I140" s="7"/>
      <c r="J140" s="486">
        <v>12</v>
      </c>
      <c r="K140" s="192" t="s">
        <v>1156</v>
      </c>
      <c r="L140" s="495"/>
      <c r="M140" s="488"/>
      <c r="N140" s="488"/>
      <c r="O140" s="488"/>
      <c r="P140" s="490"/>
      <c r="Q140" s="490"/>
      <c r="R140" s="488"/>
      <c r="S140" s="490"/>
      <c r="T140" s="488"/>
      <c r="U140" s="488"/>
      <c r="V140" s="488"/>
      <c r="W140" s="488"/>
      <c r="X140" s="492"/>
      <c r="Y140" s="497"/>
      <c r="Z140" s="496"/>
      <c r="AA140" s="493"/>
      <c r="AB140" s="493"/>
      <c r="AC140" s="493"/>
      <c r="AD140" s="494"/>
      <c r="AE140" s="9"/>
      <c r="AF140" s="9"/>
      <c r="AG140" s="9"/>
      <c r="AH140" s="9"/>
      <c r="AI140" s="9"/>
      <c r="AJ140" s="248"/>
      <c r="AK140" s="248"/>
    </row>
    <row r="141" spans="1:37" ht="16.5">
      <c r="A141" s="7"/>
      <c r="B141" s="7"/>
      <c r="C141" s="246"/>
      <c r="D141" s="8"/>
      <c r="E141" s="247"/>
      <c r="F141" s="8"/>
      <c r="G141" s="7"/>
      <c r="H141" s="7"/>
      <c r="I141" s="7"/>
      <c r="J141" s="486">
        <v>13</v>
      </c>
      <c r="K141" s="192" t="s">
        <v>1161</v>
      </c>
      <c r="L141" s="490"/>
      <c r="M141" s="488"/>
      <c r="N141" s="488"/>
      <c r="O141" s="490"/>
      <c r="P141" s="488"/>
      <c r="Q141" s="490"/>
      <c r="R141" s="488"/>
      <c r="S141" s="490"/>
      <c r="T141" s="488"/>
      <c r="U141" s="488"/>
      <c r="V141" s="488"/>
      <c r="W141" s="488"/>
      <c r="X141" s="492"/>
      <c r="Y141" s="493"/>
      <c r="Z141" s="496"/>
      <c r="AA141" s="493"/>
      <c r="AB141" s="493"/>
      <c r="AC141" s="493"/>
      <c r="AD141" s="494"/>
      <c r="AE141" s="9"/>
      <c r="AF141" s="9"/>
      <c r="AG141" s="9"/>
      <c r="AH141" s="9"/>
      <c r="AI141" s="9"/>
      <c r="AJ141" s="248"/>
      <c r="AK141" s="248"/>
    </row>
    <row r="142" spans="1:37" ht="16.5">
      <c r="A142" s="7"/>
      <c r="B142" s="7"/>
      <c r="C142" s="246"/>
      <c r="D142" s="8"/>
      <c r="E142" s="247"/>
      <c r="F142" s="8"/>
      <c r="G142" s="7"/>
      <c r="H142" s="7"/>
      <c r="I142" s="7"/>
      <c r="J142" s="486">
        <v>14</v>
      </c>
      <c r="K142" s="192" t="s">
        <v>1167</v>
      </c>
      <c r="L142" s="495"/>
      <c r="M142" s="488"/>
      <c r="N142" s="488"/>
      <c r="O142" s="490"/>
      <c r="P142" s="490"/>
      <c r="Q142" s="490"/>
      <c r="R142" s="488"/>
      <c r="S142" s="490"/>
      <c r="T142" s="488"/>
      <c r="U142" s="488"/>
      <c r="V142" s="488"/>
      <c r="W142" s="488"/>
      <c r="X142" s="492"/>
      <c r="Y142" s="493"/>
      <c r="Z142" s="496"/>
      <c r="AA142" s="493"/>
      <c r="AB142" s="493"/>
      <c r="AC142" s="493"/>
      <c r="AD142" s="494"/>
      <c r="AE142" s="9"/>
      <c r="AF142" s="9"/>
      <c r="AG142" s="9"/>
      <c r="AH142" s="9"/>
      <c r="AI142" s="9"/>
      <c r="AJ142" s="248"/>
      <c r="AK142" s="248"/>
    </row>
    <row r="143" spans="1:37" ht="16.5">
      <c r="A143" s="7"/>
      <c r="B143" s="7"/>
      <c r="C143" s="246"/>
      <c r="D143" s="8"/>
      <c r="E143" s="247"/>
      <c r="F143" s="8"/>
      <c r="G143" s="7"/>
      <c r="H143" s="7"/>
      <c r="I143" s="7"/>
      <c r="J143" s="486">
        <v>15</v>
      </c>
      <c r="K143" s="192" t="s">
        <v>1172</v>
      </c>
      <c r="L143" s="488"/>
      <c r="M143" s="488"/>
      <c r="N143" s="488"/>
      <c r="O143" s="488"/>
      <c r="P143" s="488"/>
      <c r="Q143" s="488"/>
      <c r="R143" s="488"/>
      <c r="S143" s="490"/>
      <c r="T143" s="488"/>
      <c r="U143" s="488"/>
      <c r="V143" s="488"/>
      <c r="W143" s="488"/>
      <c r="X143" s="492"/>
      <c r="Y143" s="493"/>
      <c r="Z143" s="493"/>
      <c r="AA143" s="493"/>
      <c r="AB143" s="493"/>
      <c r="AC143" s="493"/>
      <c r="AD143" s="494"/>
      <c r="AE143" s="9"/>
      <c r="AF143" s="9"/>
      <c r="AG143" s="9"/>
      <c r="AH143" s="9"/>
      <c r="AI143" s="9"/>
      <c r="AJ143" s="248"/>
      <c r="AK143" s="248"/>
    </row>
    <row r="144" spans="1:37" ht="16.5">
      <c r="A144" s="7"/>
      <c r="B144" s="7"/>
      <c r="C144" s="246"/>
      <c r="D144" s="8"/>
      <c r="E144" s="247"/>
      <c r="F144" s="8"/>
      <c r="G144" s="7"/>
      <c r="H144" s="7"/>
      <c r="I144" s="7"/>
      <c r="J144" s="486">
        <v>16</v>
      </c>
      <c r="K144" s="192" t="s">
        <v>1176</v>
      </c>
      <c r="L144" s="488"/>
      <c r="M144" s="488"/>
      <c r="N144" s="488"/>
      <c r="O144" s="488"/>
      <c r="P144" s="488"/>
      <c r="Q144" s="488"/>
      <c r="R144" s="488"/>
      <c r="S144" s="490"/>
      <c r="T144" s="488"/>
      <c r="U144" s="488"/>
      <c r="V144" s="488"/>
      <c r="W144" s="488"/>
      <c r="X144" s="492"/>
      <c r="Y144" s="496"/>
      <c r="Z144" s="493"/>
      <c r="AA144" s="493"/>
      <c r="AB144" s="493"/>
      <c r="AC144" s="493"/>
      <c r="AD144" s="494"/>
      <c r="AE144" s="9"/>
      <c r="AF144" s="9"/>
      <c r="AG144" s="9"/>
      <c r="AH144" s="9"/>
      <c r="AI144" s="9"/>
      <c r="AJ144" s="248"/>
      <c r="AK144" s="248"/>
    </row>
    <row r="145" spans="1:37" ht="16.5">
      <c r="A145" s="7"/>
      <c r="B145" s="7"/>
      <c r="C145" s="246"/>
      <c r="D145" s="8"/>
      <c r="E145" s="247"/>
      <c r="F145" s="8"/>
      <c r="G145" s="7"/>
      <c r="H145" s="7"/>
      <c r="I145" s="7"/>
      <c r="J145" s="498">
        <v>17</v>
      </c>
      <c r="K145" s="192" t="s">
        <v>1180</v>
      </c>
      <c r="L145" s="489"/>
      <c r="M145" s="489"/>
      <c r="N145" s="489"/>
      <c r="O145" s="488"/>
      <c r="P145" s="488"/>
      <c r="Q145" s="488"/>
      <c r="R145" s="488"/>
      <c r="S145" s="490"/>
      <c r="T145" s="488"/>
      <c r="U145" s="488"/>
      <c r="V145" s="488"/>
      <c r="W145" s="488"/>
      <c r="X145" s="492"/>
      <c r="Y145" s="493"/>
      <c r="Z145" s="496"/>
      <c r="AA145" s="493"/>
      <c r="AB145" s="493"/>
      <c r="AC145" s="493"/>
      <c r="AD145" s="494"/>
      <c r="AE145" s="9"/>
      <c r="AF145" s="9"/>
      <c r="AG145" s="9"/>
      <c r="AH145" s="9"/>
      <c r="AI145" s="9"/>
      <c r="AJ145" s="248"/>
      <c r="AK145" s="248"/>
    </row>
    <row r="146" spans="1:37" ht="16.5">
      <c r="A146" s="7"/>
      <c r="B146" s="7"/>
      <c r="C146" s="246"/>
      <c r="D146" s="8"/>
      <c r="E146" s="247"/>
      <c r="F146" s="8"/>
      <c r="G146" s="7"/>
      <c r="H146" s="7"/>
      <c r="I146" s="7"/>
      <c r="J146" s="498">
        <v>18</v>
      </c>
      <c r="K146" s="192" t="s">
        <v>1184</v>
      </c>
      <c r="L146" s="499"/>
      <c r="M146" s="489"/>
      <c r="N146" s="489"/>
      <c r="O146" s="490"/>
      <c r="P146" s="488"/>
      <c r="Q146" s="490"/>
      <c r="R146" s="488"/>
      <c r="S146" s="490"/>
      <c r="T146" s="488"/>
      <c r="U146" s="488"/>
      <c r="V146" s="488"/>
      <c r="W146" s="488"/>
      <c r="X146" s="500"/>
      <c r="Y146" s="493"/>
      <c r="Z146" s="493"/>
      <c r="AA146" s="492"/>
      <c r="AB146" s="493"/>
      <c r="AC146" s="493"/>
      <c r="AD146" s="494"/>
      <c r="AE146" s="9"/>
      <c r="AF146" s="9"/>
      <c r="AG146" s="9"/>
      <c r="AH146" s="9"/>
      <c r="AI146" s="9"/>
      <c r="AJ146" s="248"/>
      <c r="AK146" s="248"/>
    </row>
    <row r="147" spans="1:37" ht="15">
      <c r="A147" s="7"/>
      <c r="B147" s="7"/>
      <c r="C147" s="246"/>
      <c r="D147" s="8"/>
      <c r="E147" s="247"/>
      <c r="F147" s="8"/>
      <c r="G147" s="7"/>
      <c r="H147" s="7"/>
      <c r="I147" s="7"/>
      <c r="J147" s="498">
        <v>19</v>
      </c>
      <c r="K147" s="192" t="s">
        <v>2494</v>
      </c>
      <c r="L147" s="501"/>
      <c r="M147" s="489"/>
      <c r="N147" s="489"/>
      <c r="O147" s="488"/>
      <c r="P147" s="488"/>
      <c r="Q147" s="488"/>
      <c r="R147" s="488"/>
      <c r="S147" s="502"/>
      <c r="T147" s="488"/>
      <c r="U147" s="488"/>
      <c r="V147" s="488"/>
      <c r="W147" s="488"/>
      <c r="X147" s="493"/>
      <c r="Y147" s="493"/>
      <c r="Z147" s="493"/>
      <c r="AA147" s="492"/>
      <c r="AB147" s="493"/>
      <c r="AC147" s="493"/>
      <c r="AD147" s="494"/>
      <c r="AE147" s="9"/>
      <c r="AF147" s="9"/>
      <c r="AG147" s="9"/>
      <c r="AH147" s="9"/>
      <c r="AI147" s="9"/>
      <c r="AJ147" s="248"/>
      <c r="AK147" s="248"/>
    </row>
    <row r="148" spans="1:37" ht="15">
      <c r="A148" s="7"/>
      <c r="B148" s="7"/>
      <c r="C148" s="246"/>
      <c r="D148" s="8"/>
      <c r="E148" s="247"/>
      <c r="F148" s="8"/>
      <c r="G148" s="7"/>
      <c r="H148" s="7"/>
      <c r="I148" s="7"/>
      <c r="J148" s="498">
        <v>20</v>
      </c>
      <c r="K148" s="192" t="s">
        <v>2524</v>
      </c>
      <c r="L148" s="501"/>
      <c r="M148" s="489"/>
      <c r="N148" s="489"/>
      <c r="O148" s="488"/>
      <c r="P148" s="488"/>
      <c r="Q148" s="490"/>
      <c r="R148" s="488"/>
      <c r="S148" s="502"/>
      <c r="T148" s="488"/>
      <c r="U148" s="488"/>
      <c r="V148" s="488"/>
      <c r="W148" s="488"/>
      <c r="X148" s="493"/>
      <c r="Y148" s="493"/>
      <c r="Z148" s="493"/>
      <c r="AA148" s="493"/>
      <c r="AB148" s="493"/>
      <c r="AC148" s="496"/>
      <c r="AD148" s="494"/>
      <c r="AE148" s="9"/>
      <c r="AF148" s="9"/>
      <c r="AG148" s="9"/>
      <c r="AH148" s="9"/>
      <c r="AI148" s="9"/>
      <c r="AJ148" s="248"/>
      <c r="AK148" s="248"/>
    </row>
    <row r="149" spans="1:37" ht="15.75" thickBot="1">
      <c r="A149" s="7"/>
      <c r="B149" s="7"/>
      <c r="C149" s="246"/>
      <c r="D149" s="8"/>
      <c r="E149" s="247"/>
      <c r="F149" s="8"/>
      <c r="G149" s="7"/>
      <c r="H149" s="7"/>
      <c r="I149" s="7"/>
      <c r="J149" s="503">
        <v>21</v>
      </c>
      <c r="K149" s="211" t="s">
        <v>2527</v>
      </c>
      <c r="L149" s="504"/>
      <c r="M149" s="505"/>
      <c r="N149" s="505"/>
      <c r="O149" s="506"/>
      <c r="P149" s="506"/>
      <c r="Q149" s="506"/>
      <c r="R149" s="506"/>
      <c r="S149" s="507"/>
      <c r="T149" s="506"/>
      <c r="U149" s="506"/>
      <c r="V149" s="506"/>
      <c r="W149" s="506"/>
      <c r="X149" s="508"/>
      <c r="Y149" s="508"/>
      <c r="Z149" s="508"/>
      <c r="AA149" s="508"/>
      <c r="AB149" s="508"/>
      <c r="AC149" s="508"/>
      <c r="AD149" s="509"/>
      <c r="AE149" s="9"/>
      <c r="AF149" s="9"/>
      <c r="AG149" s="9"/>
      <c r="AH149" s="9"/>
      <c r="AI149" s="9"/>
      <c r="AJ149" s="248"/>
      <c r="AK149" s="248"/>
    </row>
    <row r="150" spans="1:37" ht="15">
      <c r="A150" s="7"/>
      <c r="B150" s="7"/>
      <c r="C150" s="246"/>
      <c r="D150" s="8"/>
      <c r="E150" s="247"/>
      <c r="F150" s="8"/>
      <c r="G150" s="7"/>
      <c r="H150" s="7"/>
      <c r="I150" s="7"/>
      <c r="J150" s="184"/>
      <c r="K150" s="184"/>
      <c r="L150" s="184"/>
      <c r="M150" s="184"/>
      <c r="N150" s="184"/>
      <c r="O150" s="8"/>
      <c r="P150" s="8"/>
      <c r="Q150" s="8"/>
      <c r="R150" s="8"/>
      <c r="S150" s="8"/>
      <c r="T150" s="8"/>
      <c r="U150" s="8"/>
      <c r="V150" s="8"/>
      <c r="W150" s="8"/>
      <c r="X150" s="9"/>
      <c r="Y150" s="9"/>
      <c r="Z150" s="9"/>
      <c r="AA150" s="9"/>
      <c r="AB150" s="9"/>
      <c r="AC150" s="9"/>
      <c r="AD150" s="9"/>
      <c r="AE150" s="9"/>
      <c r="AF150" s="9"/>
      <c r="AG150" s="9"/>
      <c r="AH150" s="9"/>
      <c r="AI150" s="9"/>
      <c r="AJ150" s="248"/>
      <c r="AK150" s="248"/>
    </row>
  </sheetData>
  <mergeCells count="70">
    <mergeCell ref="B3:AJ3"/>
    <mergeCell ref="B5:G5"/>
    <mergeCell ref="K5:L5"/>
    <mergeCell ref="M5:AD5"/>
    <mergeCell ref="B7:G8"/>
    <mergeCell ref="K7:L7"/>
    <mergeCell ref="M7:S7"/>
    <mergeCell ref="B9:G9"/>
    <mergeCell ref="J9:AJ9"/>
    <mergeCell ref="AE11:AJ11"/>
    <mergeCell ref="B12:B30"/>
    <mergeCell ref="AE12:AJ12"/>
    <mergeCell ref="AE13:AJ13"/>
    <mergeCell ref="AE14:AJ14"/>
    <mergeCell ref="AE15:AJ15"/>
    <mergeCell ref="AE16:AJ16"/>
    <mergeCell ref="AE17:AJ17"/>
    <mergeCell ref="AE18:AJ18"/>
    <mergeCell ref="AE19:AJ19"/>
    <mergeCell ref="AE20:AJ20"/>
    <mergeCell ref="AE21:AJ21"/>
    <mergeCell ref="AE22:AJ22"/>
    <mergeCell ref="AE23:AJ23"/>
    <mergeCell ref="AE24:AJ24"/>
    <mergeCell ref="AE25:AJ25"/>
    <mergeCell ref="AE26:AJ26"/>
    <mergeCell ref="AE27:AJ27"/>
    <mergeCell ref="AE28:AJ28"/>
    <mergeCell ref="AE29:AJ29"/>
    <mergeCell ref="AE30:AJ30"/>
    <mergeCell ref="B31:B63"/>
    <mergeCell ref="AE31:AJ31"/>
    <mergeCell ref="AE32:AJ32"/>
    <mergeCell ref="J41:AJ41"/>
    <mergeCell ref="AE43:AJ43"/>
    <mergeCell ref="AE44:AJ44"/>
    <mergeCell ref="AE45:AJ45"/>
    <mergeCell ref="AE46:AJ46"/>
    <mergeCell ref="AE47:AJ47"/>
    <mergeCell ref="AE48:AJ48"/>
    <mergeCell ref="AE49:AJ49"/>
    <mergeCell ref="AE50:AJ50"/>
    <mergeCell ref="AE51:AJ51"/>
    <mergeCell ref="AE52:AJ52"/>
    <mergeCell ref="AE53:AJ53"/>
    <mergeCell ref="AE54:AJ54"/>
    <mergeCell ref="AE55:AJ55"/>
    <mergeCell ref="AE56:AJ56"/>
    <mergeCell ref="AE57:AJ57"/>
    <mergeCell ref="AE58:AJ58"/>
    <mergeCell ref="AE59:AJ59"/>
    <mergeCell ref="AE60:AJ60"/>
    <mergeCell ref="AE61:AJ61"/>
    <mergeCell ref="AE62:AJ62"/>
    <mergeCell ref="AE63:AJ63"/>
    <mergeCell ref="B64:B108"/>
    <mergeCell ref="AE64:AJ64"/>
    <mergeCell ref="J73:AJ73"/>
    <mergeCell ref="AF75:AJ75"/>
    <mergeCell ref="J120:AJ120"/>
    <mergeCell ref="M122:R122"/>
    <mergeCell ref="S122:W122"/>
    <mergeCell ref="M123:R123"/>
    <mergeCell ref="S123:W123"/>
    <mergeCell ref="M126:R126"/>
    <mergeCell ref="S126:W126"/>
    <mergeCell ref="M124:R124"/>
    <mergeCell ref="S124:W124"/>
    <mergeCell ref="M125:R125"/>
    <mergeCell ref="S125:W125"/>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J106"/>
  <sheetViews>
    <sheetView zoomScale="55" zoomScaleNormal="55" workbookViewId="0" topLeftCell="A1">
      <selection activeCell="B9" sqref="B9:G9"/>
    </sheetView>
  </sheetViews>
  <sheetFormatPr defaultColWidth="9.140625" defaultRowHeight="12.75"/>
  <cols>
    <col min="1" max="1" width="2.28125" style="0" customWidth="1"/>
    <col min="2" max="2" width="7.7109375" style="0" customWidth="1"/>
    <col min="3" max="3" width="75.7109375" style="0" bestFit="1" customWidth="1"/>
    <col min="4" max="4" width="12.7109375" style="0" customWidth="1"/>
    <col min="5" max="5" width="13.28125" style="0" customWidth="1"/>
    <col min="6" max="6" width="14.140625" style="0" bestFit="1" customWidth="1"/>
    <col min="7" max="7" width="8.28125" style="0" bestFit="1" customWidth="1"/>
    <col min="8" max="8" width="11.421875" style="0" customWidth="1"/>
    <col min="10" max="10" width="6.00390625" style="0" customWidth="1"/>
    <col min="11" max="11" width="38.00390625" style="0" bestFit="1" customWidth="1"/>
    <col min="12" max="12" width="11.421875" style="0" customWidth="1"/>
    <col min="13" max="13" width="9.57421875" style="0" customWidth="1"/>
    <col min="14" max="14" width="17.140625" style="0" customWidth="1"/>
    <col min="15" max="15" width="12.57421875" style="0" customWidth="1"/>
    <col min="16" max="16" width="12.421875" style="0" customWidth="1"/>
    <col min="17" max="17" width="39.7109375" style="0" customWidth="1"/>
    <col min="18" max="21" width="9.57421875" style="0" customWidth="1"/>
    <col min="22" max="22" width="11.8515625" style="0" customWidth="1"/>
    <col min="23" max="23" width="9.57421875" style="0" customWidth="1"/>
    <col min="24" max="24" width="26.28125" style="0" customWidth="1"/>
    <col min="25" max="25" width="11.8515625" style="0" bestFit="1" customWidth="1"/>
    <col min="26" max="27" width="8.00390625" style="0" customWidth="1"/>
    <col min="28" max="28" width="17.57421875" style="0" customWidth="1"/>
    <col min="29" max="29" width="9.421875" style="0" customWidth="1"/>
    <col min="30" max="31" width="11.421875" style="0" customWidth="1"/>
    <col min="32" max="32" width="18.8515625" style="0" customWidth="1"/>
    <col min="33" max="16384" width="11.421875" style="0" customWidth="1"/>
  </cols>
  <sheetData>
    <row r="1" spans="1:36" ht="12.75">
      <c r="A1" s="510"/>
      <c r="B1" s="510"/>
      <c r="C1" s="510"/>
      <c r="D1" s="510"/>
      <c r="E1" s="510"/>
      <c r="F1" s="510"/>
      <c r="G1" s="510"/>
      <c r="H1" s="510"/>
      <c r="I1" s="510"/>
      <c r="J1" s="511"/>
      <c r="K1" s="511"/>
      <c r="L1" s="511"/>
      <c r="M1" s="511"/>
      <c r="N1" s="511"/>
      <c r="O1" s="511"/>
      <c r="P1" s="511"/>
      <c r="Q1" s="511"/>
      <c r="R1" s="511"/>
      <c r="S1" s="511"/>
      <c r="T1" s="511"/>
      <c r="U1" s="511"/>
      <c r="V1" s="511"/>
      <c r="W1" s="511"/>
      <c r="X1" s="511"/>
      <c r="Y1" s="512"/>
      <c r="Z1" s="511"/>
      <c r="AA1" s="511"/>
      <c r="AB1" s="511"/>
      <c r="AC1" s="511"/>
      <c r="AD1" s="511"/>
      <c r="AE1" s="511"/>
      <c r="AF1" s="511"/>
      <c r="AG1" s="511"/>
      <c r="AH1" s="511"/>
      <c r="AI1" s="511"/>
      <c r="AJ1" s="510"/>
    </row>
    <row r="2" spans="1:36" ht="13.5" thickBot="1">
      <c r="A2" s="510"/>
      <c r="B2" s="510"/>
      <c r="C2" s="510"/>
      <c r="D2" s="510"/>
      <c r="E2" s="510"/>
      <c r="F2" s="510"/>
      <c r="G2" s="510"/>
      <c r="H2" s="510"/>
      <c r="I2" s="510"/>
      <c r="J2" s="511"/>
      <c r="K2" s="511"/>
      <c r="L2" s="511"/>
      <c r="M2" s="511"/>
      <c r="N2" s="511"/>
      <c r="O2" s="511"/>
      <c r="P2" s="511"/>
      <c r="Q2" s="511"/>
      <c r="R2" s="511"/>
      <c r="S2" s="511"/>
      <c r="T2" s="511"/>
      <c r="U2" s="511"/>
      <c r="V2" s="511"/>
      <c r="W2" s="511"/>
      <c r="X2" s="511"/>
      <c r="Y2" s="512"/>
      <c r="Z2" s="511"/>
      <c r="AA2" s="511"/>
      <c r="AB2" s="511"/>
      <c r="AC2" s="511"/>
      <c r="AD2" s="511"/>
      <c r="AE2" s="511"/>
      <c r="AF2" s="511"/>
      <c r="AG2" s="511"/>
      <c r="AH2" s="511"/>
      <c r="AI2" s="511"/>
      <c r="AJ2" s="510"/>
    </row>
    <row r="3" spans="1:36" ht="34.5" thickBot="1">
      <c r="A3" s="510"/>
      <c r="B3" s="1397" t="s">
        <v>2684</v>
      </c>
      <c r="C3" s="1398"/>
      <c r="D3" s="1398"/>
      <c r="E3" s="1398"/>
      <c r="F3" s="1398"/>
      <c r="G3" s="1398"/>
      <c r="H3" s="1398"/>
      <c r="I3" s="1398"/>
      <c r="J3" s="1398"/>
      <c r="K3" s="1398"/>
      <c r="L3" s="1398"/>
      <c r="M3" s="1398"/>
      <c r="N3" s="1398"/>
      <c r="O3" s="1398"/>
      <c r="P3" s="1398"/>
      <c r="Q3" s="1398"/>
      <c r="R3" s="1398"/>
      <c r="S3" s="1398"/>
      <c r="T3" s="1398"/>
      <c r="U3" s="1398"/>
      <c r="V3" s="1398"/>
      <c r="W3" s="1398"/>
      <c r="X3" s="1398"/>
      <c r="Y3" s="1398"/>
      <c r="Z3" s="1398"/>
      <c r="AA3" s="1398"/>
      <c r="AB3" s="1398"/>
      <c r="AC3" s="1399"/>
      <c r="AD3" s="511"/>
      <c r="AE3" s="511"/>
      <c r="AF3" s="511"/>
      <c r="AG3" s="511"/>
      <c r="AH3" s="511"/>
      <c r="AI3" s="511"/>
      <c r="AJ3" s="510"/>
    </row>
    <row r="4" spans="1:36" ht="13.5" thickBot="1">
      <c r="A4" s="510"/>
      <c r="B4" s="510"/>
      <c r="C4" s="510"/>
      <c r="D4" s="510"/>
      <c r="E4" s="510"/>
      <c r="F4" s="510"/>
      <c r="G4" s="510"/>
      <c r="H4" s="510"/>
      <c r="I4" s="510"/>
      <c r="J4" s="511"/>
      <c r="K4" s="511"/>
      <c r="L4" s="511"/>
      <c r="M4" s="511"/>
      <c r="N4" s="511"/>
      <c r="O4" s="511"/>
      <c r="P4" s="511"/>
      <c r="Q4" s="511"/>
      <c r="R4" s="511"/>
      <c r="S4" s="511"/>
      <c r="T4" s="511"/>
      <c r="U4" s="511"/>
      <c r="V4" s="511"/>
      <c r="W4" s="511"/>
      <c r="X4" s="511"/>
      <c r="Y4" s="512"/>
      <c r="Z4" s="511"/>
      <c r="AA4" s="511"/>
      <c r="AB4" s="511"/>
      <c r="AC4" s="511"/>
      <c r="AD4" s="511"/>
      <c r="AE4" s="511"/>
      <c r="AF4" s="511"/>
      <c r="AG4" s="511"/>
      <c r="AH4" s="511"/>
      <c r="AI4" s="511"/>
      <c r="AJ4" s="510"/>
    </row>
    <row r="5" spans="1:36" ht="30.75" thickBot="1">
      <c r="A5" s="510"/>
      <c r="B5" s="1331" t="s">
        <v>2263</v>
      </c>
      <c r="C5" s="1332"/>
      <c r="D5" s="1332"/>
      <c r="E5" s="1332"/>
      <c r="F5" s="1332"/>
      <c r="G5" s="1333"/>
      <c r="H5" s="510"/>
      <c r="I5" s="510"/>
      <c r="J5" s="8"/>
      <c r="K5" s="1352" t="s">
        <v>2264</v>
      </c>
      <c r="L5" s="1358"/>
      <c r="M5" s="1359" t="s">
        <v>2449</v>
      </c>
      <c r="N5" s="1360"/>
      <c r="O5" s="1360"/>
      <c r="P5" s="1360"/>
      <c r="Q5" s="1360"/>
      <c r="R5" s="1360"/>
      <c r="S5" s="1360"/>
      <c r="T5" s="1360"/>
      <c r="U5" s="1360"/>
      <c r="V5" s="1360"/>
      <c r="W5" s="1360"/>
      <c r="X5" s="1361"/>
      <c r="Y5" s="10"/>
      <c r="Z5" s="10"/>
      <c r="AA5" s="10"/>
      <c r="AB5" s="10"/>
      <c r="AC5" s="10"/>
      <c r="AD5" s="9"/>
      <c r="AE5" s="9"/>
      <c r="AF5" s="9"/>
      <c r="AG5" s="9"/>
      <c r="AH5" s="249"/>
      <c r="AI5" s="250"/>
      <c r="AJ5" s="250"/>
    </row>
    <row r="6" spans="1:36" ht="15" thickBot="1">
      <c r="A6" s="510"/>
      <c r="B6" s="7"/>
      <c r="C6" s="7"/>
      <c r="D6" s="8"/>
      <c r="E6" s="8"/>
      <c r="F6" s="8"/>
      <c r="G6" s="8"/>
      <c r="H6" s="510"/>
      <c r="I6" s="510"/>
      <c r="J6" s="8"/>
      <c r="K6" s="12"/>
      <c r="L6" s="12"/>
      <c r="M6" s="12"/>
      <c r="N6" s="12"/>
      <c r="O6" s="12"/>
      <c r="P6" s="12"/>
      <c r="Q6" s="8"/>
      <c r="R6" s="8"/>
      <c r="S6" s="8"/>
      <c r="T6" s="8"/>
      <c r="U6" s="8"/>
      <c r="V6" s="8"/>
      <c r="W6" s="8"/>
      <c r="X6" s="8"/>
      <c r="Y6" s="9"/>
      <c r="Z6" s="9"/>
      <c r="AA6" s="9"/>
      <c r="AB6" s="9"/>
      <c r="AC6" s="9"/>
      <c r="AD6" s="9"/>
      <c r="AE6" s="9"/>
      <c r="AF6" s="9"/>
      <c r="AG6" s="9"/>
      <c r="AH6" s="249"/>
      <c r="AI6" s="190"/>
      <c r="AJ6" s="251"/>
    </row>
    <row r="7" spans="1:36" ht="18.75" thickBot="1">
      <c r="A7" s="510"/>
      <c r="B7" s="1330" t="s">
        <v>852</v>
      </c>
      <c r="C7" s="1330"/>
      <c r="D7" s="1330"/>
      <c r="E7" s="1330"/>
      <c r="F7" s="1330"/>
      <c r="G7" s="1330"/>
      <c r="H7" s="510"/>
      <c r="I7" s="510"/>
      <c r="J7" s="8"/>
      <c r="K7" s="1352" t="s">
        <v>2267</v>
      </c>
      <c r="L7" s="1353"/>
      <c r="M7" s="1354" t="s">
        <v>2268</v>
      </c>
      <c r="N7" s="1355"/>
      <c r="O7" s="1355"/>
      <c r="P7" s="1355"/>
      <c r="Q7" s="1355"/>
      <c r="R7" s="1355"/>
      <c r="S7" s="1326"/>
      <c r="T7" s="8"/>
      <c r="U7" s="8"/>
      <c r="V7" s="8"/>
      <c r="W7" s="8"/>
      <c r="X7" s="8"/>
      <c r="Y7" s="9"/>
      <c r="Z7" s="9"/>
      <c r="AA7" s="9"/>
      <c r="AB7" s="9"/>
      <c r="AC7" s="9"/>
      <c r="AD7" s="9"/>
      <c r="AE7" s="9"/>
      <c r="AF7" s="9"/>
      <c r="AG7" s="9"/>
      <c r="AH7" s="249"/>
      <c r="AI7" s="190"/>
      <c r="AJ7" s="251"/>
    </row>
    <row r="8" spans="1:36" ht="15" thickBot="1">
      <c r="A8" s="513"/>
      <c r="B8" s="1330"/>
      <c r="C8" s="1330"/>
      <c r="D8" s="1330"/>
      <c r="E8" s="1330"/>
      <c r="F8" s="1330"/>
      <c r="G8" s="1330"/>
      <c r="H8" s="510"/>
      <c r="I8" s="510"/>
      <c r="J8" s="8"/>
      <c r="K8" s="8"/>
      <c r="L8" s="8"/>
      <c r="M8" s="8"/>
      <c r="N8" s="8"/>
      <c r="O8" s="8"/>
      <c r="P8" s="8"/>
      <c r="Q8" s="8"/>
      <c r="R8" s="8"/>
      <c r="S8" s="8"/>
      <c r="T8" s="8"/>
      <c r="U8" s="8"/>
      <c r="V8" s="8"/>
      <c r="W8" s="8"/>
      <c r="X8" s="8"/>
      <c r="Y8" s="9"/>
      <c r="Z8" s="9"/>
      <c r="AA8" s="9"/>
      <c r="AB8" s="9"/>
      <c r="AC8" s="9"/>
      <c r="AD8" s="9"/>
      <c r="AE8" s="9"/>
      <c r="AF8" s="9"/>
      <c r="AG8" s="9"/>
      <c r="AH8" s="249"/>
      <c r="AI8" s="190"/>
      <c r="AJ8" s="251"/>
    </row>
    <row r="9" spans="1:36" ht="30.75" thickBot="1">
      <c r="A9" s="513"/>
      <c r="B9" s="1324" t="s">
        <v>1387</v>
      </c>
      <c r="C9" s="1324"/>
      <c r="D9" s="1324"/>
      <c r="E9" s="1324"/>
      <c r="F9" s="1324"/>
      <c r="G9" s="1324"/>
      <c r="H9" s="510"/>
      <c r="I9" s="510"/>
      <c r="J9" s="1331" t="s">
        <v>2269</v>
      </c>
      <c r="K9" s="1332"/>
      <c r="L9" s="1332"/>
      <c r="M9" s="1332"/>
      <c r="N9" s="1332"/>
      <c r="O9" s="1332"/>
      <c r="P9" s="1332"/>
      <c r="Q9" s="1332"/>
      <c r="R9" s="1332"/>
      <c r="S9" s="1332"/>
      <c r="T9" s="1332"/>
      <c r="U9" s="1332"/>
      <c r="V9" s="1332"/>
      <c r="W9" s="1332"/>
      <c r="X9" s="1332"/>
      <c r="Y9" s="1332"/>
      <c r="Z9" s="1332"/>
      <c r="AA9" s="1332"/>
      <c r="AB9" s="1332"/>
      <c r="AC9" s="1333"/>
      <c r="AD9" s="514"/>
      <c r="AE9" s="514"/>
      <c r="AF9" s="514"/>
      <c r="AG9" s="514"/>
      <c r="AH9" s="514"/>
      <c r="AI9" s="514"/>
      <c r="AJ9" s="515"/>
    </row>
    <row r="10" spans="1:36" ht="13.5" thickBot="1">
      <c r="A10" s="513"/>
      <c r="B10" s="510"/>
      <c r="C10" s="510"/>
      <c r="D10" s="510"/>
      <c r="E10" s="510"/>
      <c r="F10" s="510"/>
      <c r="G10" s="510"/>
      <c r="H10" s="510"/>
      <c r="I10" s="510"/>
      <c r="J10" s="516"/>
      <c r="K10" s="516"/>
      <c r="L10" s="516"/>
      <c r="M10" s="516"/>
      <c r="N10" s="516"/>
      <c r="O10" s="516"/>
      <c r="P10" s="516"/>
      <c r="Q10" s="516"/>
      <c r="R10" s="516"/>
      <c r="S10" s="516"/>
      <c r="T10" s="516"/>
      <c r="U10" s="516"/>
      <c r="V10" s="516"/>
      <c r="W10" s="516"/>
      <c r="X10" s="516"/>
      <c r="Y10" s="516"/>
      <c r="Z10" s="517"/>
      <c r="AA10" s="517"/>
      <c r="AB10" s="517"/>
      <c r="AC10" s="517"/>
      <c r="AD10" s="511"/>
      <c r="AE10" s="511"/>
      <c r="AF10" s="511"/>
      <c r="AG10" s="511"/>
      <c r="AH10" s="511"/>
      <c r="AI10" s="511"/>
      <c r="AJ10" s="510"/>
    </row>
    <row r="11" spans="1:36" ht="29.25" thickBot="1">
      <c r="A11" s="513"/>
      <c r="B11" s="513"/>
      <c r="C11" s="513"/>
      <c r="D11" s="255" t="s">
        <v>2270</v>
      </c>
      <c r="E11" s="518" t="s">
        <v>2271</v>
      </c>
      <c r="F11" s="255" t="s">
        <v>2272</v>
      </c>
      <c r="G11" s="256" t="s">
        <v>2273</v>
      </c>
      <c r="H11" s="510"/>
      <c r="I11" s="510"/>
      <c r="J11" s="519"/>
      <c r="K11" s="520"/>
      <c r="L11" s="521" t="s">
        <v>2300</v>
      </c>
      <c r="M11" s="522" t="s">
        <v>2291</v>
      </c>
      <c r="N11" s="522" t="s">
        <v>2483</v>
      </c>
      <c r="O11" s="522" t="s">
        <v>853</v>
      </c>
      <c r="P11" s="522" t="s">
        <v>2492</v>
      </c>
      <c r="Q11" s="522" t="s">
        <v>2347</v>
      </c>
      <c r="R11" s="522" t="s">
        <v>2296</v>
      </c>
      <c r="S11" s="522" t="s">
        <v>2310</v>
      </c>
      <c r="T11" s="522" t="s">
        <v>2305</v>
      </c>
      <c r="U11" s="522" t="s">
        <v>2501</v>
      </c>
      <c r="V11" s="522" t="s">
        <v>2685</v>
      </c>
      <c r="W11" s="522" t="s">
        <v>2686</v>
      </c>
      <c r="X11" s="523" t="s">
        <v>2687</v>
      </c>
      <c r="Y11" s="1394" t="s">
        <v>2288</v>
      </c>
      <c r="Z11" s="1395"/>
      <c r="AA11" s="1395"/>
      <c r="AB11" s="1395"/>
      <c r="AC11" s="1396"/>
      <c r="AD11" s="511"/>
      <c r="AE11" s="511"/>
      <c r="AF11" s="511"/>
      <c r="AG11" s="511"/>
      <c r="AH11" s="511"/>
      <c r="AI11" s="511"/>
      <c r="AJ11" s="510"/>
    </row>
    <row r="12" spans="1:36" ht="39">
      <c r="A12" s="513"/>
      <c r="B12" s="1387" t="s">
        <v>2688</v>
      </c>
      <c r="C12" s="524" t="s">
        <v>2290</v>
      </c>
      <c r="D12" s="263" t="s">
        <v>2291</v>
      </c>
      <c r="E12" s="263" t="s">
        <v>2292</v>
      </c>
      <c r="F12" s="264" t="s">
        <v>2293</v>
      </c>
      <c r="G12" s="264"/>
      <c r="H12" s="510"/>
      <c r="I12" s="510"/>
      <c r="J12" s="525">
        <v>1</v>
      </c>
      <c r="K12" s="526" t="s">
        <v>2689</v>
      </c>
      <c r="L12" s="527"/>
      <c r="M12" s="528" t="s">
        <v>1375</v>
      </c>
      <c r="N12" s="528" t="s">
        <v>1376</v>
      </c>
      <c r="O12" s="527"/>
      <c r="P12" s="527"/>
      <c r="Q12" s="529" t="s">
        <v>1377</v>
      </c>
      <c r="R12" s="530" t="s">
        <v>2522</v>
      </c>
      <c r="S12" s="527"/>
      <c r="T12" s="527">
        <v>-1</v>
      </c>
      <c r="U12" s="527"/>
      <c r="V12" s="527"/>
      <c r="W12" s="527"/>
      <c r="X12" s="531" t="s">
        <v>1378</v>
      </c>
      <c r="Y12" s="1381" t="s">
        <v>1379</v>
      </c>
      <c r="Z12" s="1382"/>
      <c r="AA12" s="1382"/>
      <c r="AB12" s="1382"/>
      <c r="AC12" s="1383"/>
      <c r="AD12" s="511"/>
      <c r="AE12" s="511"/>
      <c r="AF12" s="511"/>
      <c r="AG12" s="511"/>
      <c r="AH12" s="511"/>
      <c r="AI12" s="511"/>
      <c r="AJ12" s="510"/>
    </row>
    <row r="13" spans="1:36" ht="34.5">
      <c r="A13" s="513"/>
      <c r="B13" s="1388"/>
      <c r="C13" s="532" t="s">
        <v>2295</v>
      </c>
      <c r="D13" s="272" t="s">
        <v>2296</v>
      </c>
      <c r="E13" s="272" t="s">
        <v>2297</v>
      </c>
      <c r="F13" s="273" t="s">
        <v>2293</v>
      </c>
      <c r="G13" s="273"/>
      <c r="H13" s="510"/>
      <c r="I13" s="510"/>
      <c r="J13" s="533">
        <v>2</v>
      </c>
      <c r="K13" s="534" t="s">
        <v>1380</v>
      </c>
      <c r="L13" s="535" t="s">
        <v>1381</v>
      </c>
      <c r="M13" s="536">
        <v>-1</v>
      </c>
      <c r="N13" s="537" t="s">
        <v>2690</v>
      </c>
      <c r="O13" s="535"/>
      <c r="P13" s="535"/>
      <c r="Q13" s="538" t="s">
        <v>1382</v>
      </c>
      <c r="R13" s="535"/>
      <c r="S13" s="535"/>
      <c r="T13" s="535"/>
      <c r="U13" s="535"/>
      <c r="V13" s="537" t="s">
        <v>2691</v>
      </c>
      <c r="W13" s="535"/>
      <c r="X13" s="539" t="s">
        <v>1383</v>
      </c>
      <c r="Y13" s="1381" t="s">
        <v>1384</v>
      </c>
      <c r="Z13" s="1382"/>
      <c r="AA13" s="1382"/>
      <c r="AB13" s="1382"/>
      <c r="AC13" s="1383"/>
      <c r="AD13" s="511"/>
      <c r="AE13" s="511"/>
      <c r="AF13" s="511"/>
      <c r="AG13" s="511"/>
      <c r="AH13" s="511"/>
      <c r="AI13" s="511"/>
      <c r="AJ13" s="510"/>
    </row>
    <row r="14" spans="1:36" ht="54">
      <c r="A14" s="513"/>
      <c r="B14" s="1388"/>
      <c r="C14" s="532" t="s">
        <v>2299</v>
      </c>
      <c r="D14" s="272" t="s">
        <v>2300</v>
      </c>
      <c r="E14" s="272" t="s">
        <v>2301</v>
      </c>
      <c r="F14" s="275" t="s">
        <v>2302</v>
      </c>
      <c r="G14" s="273"/>
      <c r="H14" s="510"/>
      <c r="I14" s="510"/>
      <c r="J14" s="533">
        <v>3</v>
      </c>
      <c r="K14" s="534" t="s">
        <v>1385</v>
      </c>
      <c r="L14" s="535"/>
      <c r="M14" s="536">
        <v>-1</v>
      </c>
      <c r="N14" s="537" t="s">
        <v>2690</v>
      </c>
      <c r="O14" s="535" t="s">
        <v>1389</v>
      </c>
      <c r="P14" s="535" t="s">
        <v>1390</v>
      </c>
      <c r="Q14" s="537" t="s">
        <v>1391</v>
      </c>
      <c r="R14" s="535"/>
      <c r="S14" s="535"/>
      <c r="T14" s="535"/>
      <c r="U14" s="535"/>
      <c r="V14" s="537" t="s">
        <v>2692</v>
      </c>
      <c r="W14" s="535"/>
      <c r="X14" s="539" t="s">
        <v>1392</v>
      </c>
      <c r="Y14" s="1381" t="s">
        <v>1393</v>
      </c>
      <c r="Z14" s="1382"/>
      <c r="AA14" s="1382"/>
      <c r="AB14" s="1382"/>
      <c r="AC14" s="1383"/>
      <c r="AD14" s="511"/>
      <c r="AE14" s="511"/>
      <c r="AF14" s="511"/>
      <c r="AG14" s="511"/>
      <c r="AH14" s="511"/>
      <c r="AI14" s="511"/>
      <c r="AJ14" s="510"/>
    </row>
    <row r="15" spans="1:36" ht="54">
      <c r="A15" s="513"/>
      <c r="B15" s="1388"/>
      <c r="C15" s="532" t="s">
        <v>2304</v>
      </c>
      <c r="D15" s="272" t="s">
        <v>2305</v>
      </c>
      <c r="E15" s="272" t="s">
        <v>2306</v>
      </c>
      <c r="F15" s="273" t="s">
        <v>2293</v>
      </c>
      <c r="G15" s="273"/>
      <c r="H15" s="510"/>
      <c r="I15" s="510"/>
      <c r="J15" s="533">
        <v>4</v>
      </c>
      <c r="K15" s="534" t="s">
        <v>1394</v>
      </c>
      <c r="L15" s="535" t="s">
        <v>1395</v>
      </c>
      <c r="M15" s="535"/>
      <c r="N15" s="535" t="s">
        <v>1396</v>
      </c>
      <c r="O15" s="535"/>
      <c r="P15" s="535"/>
      <c r="Q15" s="537" t="s">
        <v>1397</v>
      </c>
      <c r="R15" s="535"/>
      <c r="S15" s="535"/>
      <c r="T15" s="535"/>
      <c r="U15" s="536">
        <v>1</v>
      </c>
      <c r="V15" s="535" t="s">
        <v>1398</v>
      </c>
      <c r="W15" s="535"/>
      <c r="X15" s="540" t="s">
        <v>1399</v>
      </c>
      <c r="Y15" s="1381" t="s">
        <v>1400</v>
      </c>
      <c r="Z15" s="1382"/>
      <c r="AA15" s="1382"/>
      <c r="AB15" s="1382"/>
      <c r="AC15" s="1383"/>
      <c r="AD15" s="511"/>
      <c r="AE15" s="511"/>
      <c r="AF15" s="511"/>
      <c r="AG15" s="511"/>
      <c r="AH15" s="511"/>
      <c r="AI15" s="511"/>
      <c r="AJ15" s="510"/>
    </row>
    <row r="16" spans="1:36" ht="73.5">
      <c r="A16" s="513"/>
      <c r="B16" s="1388"/>
      <c r="C16" s="532" t="s">
        <v>2480</v>
      </c>
      <c r="D16" s="272" t="s">
        <v>2310</v>
      </c>
      <c r="E16" s="272" t="s">
        <v>2481</v>
      </c>
      <c r="F16" s="273" t="s">
        <v>2293</v>
      </c>
      <c r="G16" s="273"/>
      <c r="H16" s="510"/>
      <c r="I16" s="510"/>
      <c r="J16" s="533">
        <v>5</v>
      </c>
      <c r="K16" s="534" t="s">
        <v>1401</v>
      </c>
      <c r="L16" s="535"/>
      <c r="M16" s="535"/>
      <c r="N16" s="535" t="s">
        <v>1396</v>
      </c>
      <c r="O16" s="535" t="s">
        <v>1402</v>
      </c>
      <c r="P16" s="535" t="s">
        <v>1403</v>
      </c>
      <c r="Q16" s="537" t="s">
        <v>1404</v>
      </c>
      <c r="R16" s="535"/>
      <c r="S16" s="535"/>
      <c r="T16" s="535"/>
      <c r="U16" s="536">
        <v>1</v>
      </c>
      <c r="V16" s="535" t="s">
        <v>1405</v>
      </c>
      <c r="W16" s="535"/>
      <c r="X16" s="540" t="s">
        <v>1406</v>
      </c>
      <c r="Y16" s="1381" t="s">
        <v>1407</v>
      </c>
      <c r="Z16" s="1382"/>
      <c r="AA16" s="1382"/>
      <c r="AB16" s="1382"/>
      <c r="AC16" s="1383"/>
      <c r="AD16" s="511"/>
      <c r="AE16" s="511"/>
      <c r="AF16" s="511"/>
      <c r="AG16" s="511"/>
      <c r="AH16" s="511"/>
      <c r="AI16" s="511"/>
      <c r="AJ16" s="510"/>
    </row>
    <row r="17" spans="1:36" ht="31.5">
      <c r="A17" s="510"/>
      <c r="B17" s="1388"/>
      <c r="C17" s="532" t="s">
        <v>2078</v>
      </c>
      <c r="D17" s="272" t="s">
        <v>2318</v>
      </c>
      <c r="E17" s="272" t="s">
        <v>2319</v>
      </c>
      <c r="F17" s="273" t="s">
        <v>2320</v>
      </c>
      <c r="G17" s="273"/>
      <c r="H17" s="510"/>
      <c r="I17" s="510"/>
      <c r="J17" s="533">
        <v>6</v>
      </c>
      <c r="K17" s="534" t="s">
        <v>1408</v>
      </c>
      <c r="L17" s="535" t="s">
        <v>1409</v>
      </c>
      <c r="M17" s="535"/>
      <c r="N17" s="535" t="s">
        <v>1410</v>
      </c>
      <c r="O17" s="535"/>
      <c r="P17" s="535"/>
      <c r="Q17" s="537" t="s">
        <v>1411</v>
      </c>
      <c r="R17" s="535"/>
      <c r="S17" s="537" t="s">
        <v>2529</v>
      </c>
      <c r="T17" s="535"/>
      <c r="U17" s="536">
        <v>-1</v>
      </c>
      <c r="V17" s="535"/>
      <c r="W17" s="535"/>
      <c r="X17" s="540" t="s">
        <v>1412</v>
      </c>
      <c r="Y17" s="1381" t="s">
        <v>1413</v>
      </c>
      <c r="Z17" s="1382"/>
      <c r="AA17" s="1382"/>
      <c r="AB17" s="1382"/>
      <c r="AC17" s="1383"/>
      <c r="AD17" s="511"/>
      <c r="AE17" s="511"/>
      <c r="AF17" s="511"/>
      <c r="AG17" s="511"/>
      <c r="AH17" s="511"/>
      <c r="AI17" s="511"/>
      <c r="AJ17" s="510"/>
    </row>
    <row r="18" spans="1:36" ht="49.5">
      <c r="A18" s="510"/>
      <c r="B18" s="1388"/>
      <c r="C18" s="58" t="s">
        <v>1035</v>
      </c>
      <c r="D18" s="272" t="s">
        <v>2322</v>
      </c>
      <c r="E18" s="272" t="s">
        <v>2323</v>
      </c>
      <c r="F18" s="273" t="s">
        <v>2320</v>
      </c>
      <c r="G18" s="273"/>
      <c r="H18" s="510"/>
      <c r="I18" s="510"/>
      <c r="J18" s="533">
        <v>7</v>
      </c>
      <c r="K18" s="534" t="s">
        <v>1414</v>
      </c>
      <c r="L18" s="535"/>
      <c r="M18" s="535"/>
      <c r="N18" s="535" t="s">
        <v>1410</v>
      </c>
      <c r="O18" s="535" t="s">
        <v>1415</v>
      </c>
      <c r="P18" s="535" t="s">
        <v>1416</v>
      </c>
      <c r="Q18" s="537" t="s">
        <v>1417</v>
      </c>
      <c r="R18" s="535"/>
      <c r="S18" s="537" t="s">
        <v>2529</v>
      </c>
      <c r="T18" s="535"/>
      <c r="U18" s="536">
        <v>-1</v>
      </c>
      <c r="V18" s="535"/>
      <c r="W18" s="535"/>
      <c r="X18" s="540" t="s">
        <v>1412</v>
      </c>
      <c r="Y18" s="1381" t="s">
        <v>1418</v>
      </c>
      <c r="Z18" s="1382"/>
      <c r="AA18" s="1382"/>
      <c r="AB18" s="1382"/>
      <c r="AC18" s="1383"/>
      <c r="AD18" s="511"/>
      <c r="AE18" s="511"/>
      <c r="AF18" s="511"/>
      <c r="AG18" s="511"/>
      <c r="AH18" s="511"/>
      <c r="AI18" s="511"/>
      <c r="AJ18" s="510"/>
    </row>
    <row r="19" spans="1:36" ht="19.5">
      <c r="A19" s="510"/>
      <c r="B19" s="1388"/>
      <c r="C19" s="532" t="s">
        <v>2491</v>
      </c>
      <c r="D19" s="272" t="s">
        <v>2492</v>
      </c>
      <c r="E19" s="272" t="s">
        <v>2492</v>
      </c>
      <c r="F19" s="273" t="s">
        <v>2320</v>
      </c>
      <c r="G19" s="273"/>
      <c r="H19" s="510"/>
      <c r="I19" s="510"/>
      <c r="J19" s="533" t="s">
        <v>2486</v>
      </c>
      <c r="K19" s="534" t="s">
        <v>1419</v>
      </c>
      <c r="L19" s="535" t="s">
        <v>2488</v>
      </c>
      <c r="M19" s="535"/>
      <c r="N19" s="535"/>
      <c r="O19" s="535"/>
      <c r="P19" s="535"/>
      <c r="Q19" s="535"/>
      <c r="R19" s="535"/>
      <c r="S19" s="535"/>
      <c r="T19" s="535"/>
      <c r="U19" s="535"/>
      <c r="V19" s="535" t="s">
        <v>2488</v>
      </c>
      <c r="W19" s="535"/>
      <c r="X19" s="540" t="s">
        <v>1420</v>
      </c>
      <c r="Y19" s="1381" t="s">
        <v>1421</v>
      </c>
      <c r="Z19" s="1382"/>
      <c r="AA19" s="1382"/>
      <c r="AB19" s="1382"/>
      <c r="AC19" s="1383"/>
      <c r="AD19" s="511"/>
      <c r="AE19" s="511"/>
      <c r="AF19" s="511"/>
      <c r="AG19" s="511"/>
      <c r="AH19" s="511"/>
      <c r="AI19" s="511"/>
      <c r="AJ19" s="510"/>
    </row>
    <row r="20" spans="1:36" ht="19.5">
      <c r="A20" s="510"/>
      <c r="B20" s="1388"/>
      <c r="C20" s="532" t="s">
        <v>2335</v>
      </c>
      <c r="D20" s="272" t="s">
        <v>2501</v>
      </c>
      <c r="E20" s="272" t="s">
        <v>2337</v>
      </c>
      <c r="F20" s="273" t="s">
        <v>2293</v>
      </c>
      <c r="G20" s="273"/>
      <c r="H20" s="510"/>
      <c r="I20" s="510"/>
      <c r="J20" s="533" t="s">
        <v>2493</v>
      </c>
      <c r="K20" s="534" t="s">
        <v>1422</v>
      </c>
      <c r="L20" s="535"/>
      <c r="M20" s="535"/>
      <c r="N20" s="535"/>
      <c r="O20" s="535" t="s">
        <v>1423</v>
      </c>
      <c r="P20" s="535" t="s">
        <v>1424</v>
      </c>
      <c r="Q20" s="537" t="s">
        <v>1425</v>
      </c>
      <c r="R20" s="535"/>
      <c r="S20" s="535"/>
      <c r="T20" s="535"/>
      <c r="U20" s="535"/>
      <c r="V20" s="535" t="s">
        <v>2488</v>
      </c>
      <c r="W20" s="535"/>
      <c r="X20" s="540" t="s">
        <v>1420</v>
      </c>
      <c r="Y20" s="1381" t="s">
        <v>1426</v>
      </c>
      <c r="Z20" s="1382"/>
      <c r="AA20" s="1382"/>
      <c r="AB20" s="1382"/>
      <c r="AC20" s="1383"/>
      <c r="AD20" s="511"/>
      <c r="AE20" s="511"/>
      <c r="AF20" s="511"/>
      <c r="AG20" s="511"/>
      <c r="AH20" s="511"/>
      <c r="AI20" s="511"/>
      <c r="AJ20" s="510"/>
    </row>
    <row r="21" spans="1:36" ht="39">
      <c r="A21" s="510"/>
      <c r="B21" s="1388"/>
      <c r="C21" s="532" t="s">
        <v>2341</v>
      </c>
      <c r="D21" s="272" t="s">
        <v>2686</v>
      </c>
      <c r="E21" s="272" t="s">
        <v>2343</v>
      </c>
      <c r="F21" s="273" t="s">
        <v>2293</v>
      </c>
      <c r="G21" s="273"/>
      <c r="H21" s="510"/>
      <c r="I21" s="510"/>
      <c r="J21" s="541" t="s">
        <v>2499</v>
      </c>
      <c r="K21" s="542" t="s">
        <v>1427</v>
      </c>
      <c r="L21" s="543" t="s">
        <v>1023</v>
      </c>
      <c r="M21" s="543"/>
      <c r="N21" s="543" t="s">
        <v>1428</v>
      </c>
      <c r="O21" s="543" t="s">
        <v>1024</v>
      </c>
      <c r="P21" s="543"/>
      <c r="Q21" s="544" t="s">
        <v>1429</v>
      </c>
      <c r="R21" s="543"/>
      <c r="S21" s="543"/>
      <c r="T21" s="543"/>
      <c r="U21" s="543"/>
      <c r="V21" s="543"/>
      <c r="W21" s="545">
        <v>1</v>
      </c>
      <c r="X21" s="546" t="s">
        <v>2079</v>
      </c>
      <c r="Y21" s="1381" t="s">
        <v>1430</v>
      </c>
      <c r="Z21" s="1382"/>
      <c r="AA21" s="1382"/>
      <c r="AB21" s="1382"/>
      <c r="AC21" s="1383"/>
      <c r="AD21" s="511"/>
      <c r="AE21" s="511"/>
      <c r="AF21" s="511"/>
      <c r="AG21" s="511"/>
      <c r="AH21" s="511"/>
      <c r="AI21" s="511"/>
      <c r="AJ21" s="510"/>
    </row>
    <row r="22" spans="1:36" ht="31.5">
      <c r="A22" s="510"/>
      <c r="B22" s="1388"/>
      <c r="C22" s="532" t="s">
        <v>2080</v>
      </c>
      <c r="D22" s="272" t="s">
        <v>2685</v>
      </c>
      <c r="E22" s="272" t="s">
        <v>2081</v>
      </c>
      <c r="F22" s="273" t="s">
        <v>2293</v>
      </c>
      <c r="G22" s="273"/>
      <c r="H22" s="510"/>
      <c r="I22" s="510"/>
      <c r="J22" s="541" t="s">
        <v>2502</v>
      </c>
      <c r="K22" s="542" t="s">
        <v>1431</v>
      </c>
      <c r="L22" s="543" t="s">
        <v>1409</v>
      </c>
      <c r="M22" s="543"/>
      <c r="N22" s="543" t="s">
        <v>1410</v>
      </c>
      <c r="O22" s="543"/>
      <c r="P22" s="543"/>
      <c r="Q22" s="544" t="s">
        <v>1432</v>
      </c>
      <c r="R22" s="543"/>
      <c r="S22" s="544" t="s">
        <v>2529</v>
      </c>
      <c r="T22" s="543"/>
      <c r="U22" s="543"/>
      <c r="V22" s="543"/>
      <c r="W22" s="545">
        <v>-1</v>
      </c>
      <c r="X22" s="547" t="s">
        <v>1412</v>
      </c>
      <c r="Y22" s="1381" t="s">
        <v>1433</v>
      </c>
      <c r="Z22" s="1382"/>
      <c r="AA22" s="1382"/>
      <c r="AB22" s="1382"/>
      <c r="AC22" s="1383"/>
      <c r="AD22" s="511"/>
      <c r="AE22" s="511"/>
      <c r="AF22" s="511"/>
      <c r="AG22" s="511"/>
      <c r="AH22" s="511"/>
      <c r="AI22" s="511"/>
      <c r="AJ22" s="510"/>
    </row>
    <row r="23" spans="1:36" ht="50.25" thickBot="1">
      <c r="A23" s="510"/>
      <c r="B23" s="1388"/>
      <c r="C23" s="532" t="s">
        <v>1037</v>
      </c>
      <c r="D23" s="272" t="s">
        <v>2347</v>
      </c>
      <c r="E23" s="272" t="s">
        <v>2348</v>
      </c>
      <c r="F23" s="273" t="s">
        <v>1038</v>
      </c>
      <c r="G23" s="273"/>
      <c r="H23" s="510"/>
      <c r="I23" s="510"/>
      <c r="J23" s="548" t="s">
        <v>2082</v>
      </c>
      <c r="K23" s="542" t="s">
        <v>1434</v>
      </c>
      <c r="L23" s="549"/>
      <c r="M23" s="549"/>
      <c r="N23" s="549" t="s">
        <v>1410</v>
      </c>
      <c r="O23" s="549" t="s">
        <v>1415</v>
      </c>
      <c r="P23" s="549" t="s">
        <v>1416</v>
      </c>
      <c r="Q23" s="550" t="s">
        <v>1435</v>
      </c>
      <c r="R23" s="549"/>
      <c r="S23" s="550" t="s">
        <v>2529</v>
      </c>
      <c r="T23" s="549"/>
      <c r="U23" s="549"/>
      <c r="V23" s="549"/>
      <c r="W23" s="551">
        <v>-1</v>
      </c>
      <c r="X23" s="552" t="s">
        <v>1412</v>
      </c>
      <c r="Y23" s="1384" t="s">
        <v>1436</v>
      </c>
      <c r="Z23" s="1385"/>
      <c r="AA23" s="1385"/>
      <c r="AB23" s="1385"/>
      <c r="AC23" s="1386"/>
      <c r="AD23" s="511"/>
      <c r="AE23" s="511"/>
      <c r="AF23" s="511"/>
      <c r="AG23" s="511"/>
      <c r="AH23" s="511"/>
      <c r="AI23" s="511"/>
      <c r="AJ23" s="510"/>
    </row>
    <row r="24" spans="1:36" ht="20.25" thickBot="1">
      <c r="A24" s="510"/>
      <c r="B24" s="1389"/>
      <c r="C24" s="553" t="s">
        <v>2519</v>
      </c>
      <c r="D24" s="554" t="s">
        <v>2687</v>
      </c>
      <c r="E24" s="554" t="s">
        <v>2520</v>
      </c>
      <c r="F24" s="79" t="s">
        <v>2515</v>
      </c>
      <c r="G24" s="555"/>
      <c r="H24" s="510"/>
      <c r="I24" s="510"/>
      <c r="J24" s="556"/>
      <c r="K24" s="1390" t="s">
        <v>2328</v>
      </c>
      <c r="L24" s="1391"/>
      <c r="M24" s="1391"/>
      <c r="N24" s="1391"/>
      <c r="O24" s="1391"/>
      <c r="P24" s="1391"/>
      <c r="Q24" s="1391"/>
      <c r="R24" s="1391"/>
      <c r="S24" s="1391"/>
      <c r="T24" s="1391"/>
      <c r="U24" s="1391"/>
      <c r="V24" s="1391"/>
      <c r="W24" s="1391"/>
      <c r="X24" s="1392"/>
      <c r="Y24" s="556"/>
      <c r="Z24" s="556"/>
      <c r="AA24" s="556"/>
      <c r="AB24" s="556"/>
      <c r="AC24" s="556"/>
      <c r="AD24" s="511"/>
      <c r="AE24" s="511"/>
      <c r="AF24" s="511"/>
      <c r="AG24" s="511"/>
      <c r="AH24" s="511"/>
      <c r="AI24" s="511"/>
      <c r="AJ24" s="510"/>
    </row>
    <row r="25" spans="1:36" ht="19.5">
      <c r="A25" s="510"/>
      <c r="B25" s="1387" t="s">
        <v>2349</v>
      </c>
      <c r="C25" s="557" t="s">
        <v>2521</v>
      </c>
      <c r="D25" s="558" t="s">
        <v>2522</v>
      </c>
      <c r="E25" s="558" t="s">
        <v>2523</v>
      </c>
      <c r="F25" s="313" t="s">
        <v>1192</v>
      </c>
      <c r="G25" s="314">
        <v>0</v>
      </c>
      <c r="H25" s="510"/>
      <c r="I25" s="510"/>
      <c r="J25" s="559"/>
      <c r="K25" s="560" t="s">
        <v>2332</v>
      </c>
      <c r="L25" s="561">
        <v>-1</v>
      </c>
      <c r="M25" s="561">
        <v>1</v>
      </c>
      <c r="N25" s="562"/>
      <c r="O25" s="563" t="s">
        <v>2376</v>
      </c>
      <c r="P25" s="563" t="s">
        <v>2377</v>
      </c>
      <c r="Q25" s="562"/>
      <c r="R25" s="561">
        <v>1</v>
      </c>
      <c r="S25" s="561">
        <v>1</v>
      </c>
      <c r="T25" s="561">
        <v>1</v>
      </c>
      <c r="U25" s="561">
        <v>1</v>
      </c>
      <c r="V25" s="561">
        <v>1</v>
      </c>
      <c r="W25" s="561">
        <v>1</v>
      </c>
      <c r="X25" s="564"/>
      <c r="Y25" s="559"/>
      <c r="Z25" s="556"/>
      <c r="AA25" s="556"/>
      <c r="AB25" s="556"/>
      <c r="AC25" s="556"/>
      <c r="AD25" s="511"/>
      <c r="AE25" s="511"/>
      <c r="AF25" s="511"/>
      <c r="AG25" s="511"/>
      <c r="AH25" s="511"/>
      <c r="AI25" s="511"/>
      <c r="AJ25" s="510"/>
    </row>
    <row r="26" spans="1:36" ht="19.5">
      <c r="A26" s="510"/>
      <c r="B26" s="1388"/>
      <c r="C26" s="565" t="s">
        <v>1437</v>
      </c>
      <c r="D26" s="125" t="s">
        <v>2083</v>
      </c>
      <c r="E26" s="125" t="s">
        <v>2084</v>
      </c>
      <c r="F26" s="322" t="s">
        <v>1438</v>
      </c>
      <c r="G26" s="322">
        <v>0.63</v>
      </c>
      <c r="H26" s="510"/>
      <c r="I26" s="510"/>
      <c r="J26" s="559"/>
      <c r="K26" s="566" t="s">
        <v>2338</v>
      </c>
      <c r="L26" s="567"/>
      <c r="M26" s="568" t="s">
        <v>2690</v>
      </c>
      <c r="N26" s="569">
        <v>1</v>
      </c>
      <c r="O26" s="569">
        <v>1</v>
      </c>
      <c r="P26" s="569">
        <v>1</v>
      </c>
      <c r="Q26" s="567"/>
      <c r="R26" s="568" t="s">
        <v>2568</v>
      </c>
      <c r="S26" s="568" t="s">
        <v>2570</v>
      </c>
      <c r="T26" s="568" t="s">
        <v>2572</v>
      </c>
      <c r="U26" s="568" t="s">
        <v>2576</v>
      </c>
      <c r="V26" s="567"/>
      <c r="W26" s="568" t="s">
        <v>2576</v>
      </c>
      <c r="X26" s="570"/>
      <c r="Y26" s="559"/>
      <c r="Z26" s="556"/>
      <c r="AA26" s="556"/>
      <c r="AB26" s="556"/>
      <c r="AC26" s="556"/>
      <c r="AD26" s="511"/>
      <c r="AE26" s="511"/>
      <c r="AF26" s="511"/>
      <c r="AG26" s="511"/>
      <c r="AH26" s="511"/>
      <c r="AI26" s="511"/>
      <c r="AJ26" s="510"/>
    </row>
    <row r="27" spans="1:36" ht="19.5">
      <c r="A27" s="510"/>
      <c r="B27" s="1388"/>
      <c r="C27" s="565" t="s">
        <v>1439</v>
      </c>
      <c r="D27" s="125" t="s">
        <v>2085</v>
      </c>
      <c r="E27" s="125" t="s">
        <v>2086</v>
      </c>
      <c r="F27" s="322" t="s">
        <v>1438</v>
      </c>
      <c r="G27" s="322">
        <v>0.54</v>
      </c>
      <c r="H27" s="510"/>
      <c r="I27" s="510"/>
      <c r="J27" s="559"/>
      <c r="K27" s="566" t="s">
        <v>2344</v>
      </c>
      <c r="L27" s="567"/>
      <c r="M27" s="567"/>
      <c r="N27" s="568" t="s">
        <v>2317</v>
      </c>
      <c r="O27" s="568" t="s">
        <v>2379</v>
      </c>
      <c r="P27" s="567"/>
      <c r="Q27" s="569">
        <v>-1</v>
      </c>
      <c r="R27" s="567"/>
      <c r="S27" s="567"/>
      <c r="T27" s="567"/>
      <c r="U27" s="567"/>
      <c r="V27" s="567"/>
      <c r="W27" s="567"/>
      <c r="X27" s="570"/>
      <c r="Y27" s="559"/>
      <c r="Z27" s="556"/>
      <c r="AA27" s="556"/>
      <c r="AB27" s="556"/>
      <c r="AC27" s="556"/>
      <c r="AD27" s="511"/>
      <c r="AE27" s="511"/>
      <c r="AF27" s="511"/>
      <c r="AG27" s="511"/>
      <c r="AH27" s="511"/>
      <c r="AI27" s="511"/>
      <c r="AJ27" s="510"/>
    </row>
    <row r="28" spans="1:36" ht="20.25" thickBot="1">
      <c r="A28" s="510"/>
      <c r="B28" s="1388"/>
      <c r="C28" s="565" t="s">
        <v>1440</v>
      </c>
      <c r="D28" s="125" t="s">
        <v>2691</v>
      </c>
      <c r="E28" s="125" t="s">
        <v>2087</v>
      </c>
      <c r="F28" s="322" t="s">
        <v>1441</v>
      </c>
      <c r="G28" s="322">
        <v>0.85</v>
      </c>
      <c r="H28" s="510"/>
      <c r="I28" s="510"/>
      <c r="J28" s="556"/>
      <c r="K28" s="571" t="s">
        <v>2548</v>
      </c>
      <c r="L28" s="572"/>
      <c r="M28" s="572"/>
      <c r="N28" s="572"/>
      <c r="O28" s="572"/>
      <c r="P28" s="572"/>
      <c r="Q28" s="572"/>
      <c r="R28" s="572"/>
      <c r="S28" s="573" t="s">
        <v>2088</v>
      </c>
      <c r="T28" s="573" t="s">
        <v>2089</v>
      </c>
      <c r="U28" s="573" t="s">
        <v>2079</v>
      </c>
      <c r="V28" s="573" t="s">
        <v>2090</v>
      </c>
      <c r="W28" s="573" t="s">
        <v>2079</v>
      </c>
      <c r="X28" s="574">
        <v>-1</v>
      </c>
      <c r="Y28" s="556"/>
      <c r="Z28" s="556"/>
      <c r="AA28" s="556"/>
      <c r="AB28" s="556"/>
      <c r="AC28" s="556"/>
      <c r="AD28" s="511"/>
      <c r="AE28" s="511"/>
      <c r="AF28" s="511"/>
      <c r="AG28" s="511"/>
      <c r="AH28" s="511"/>
      <c r="AI28" s="511"/>
      <c r="AJ28" s="510"/>
    </row>
    <row r="29" spans="1:36" ht="19.5">
      <c r="A29" s="510"/>
      <c r="B29" s="1388"/>
      <c r="C29" s="565" t="s">
        <v>1442</v>
      </c>
      <c r="D29" s="125" t="s">
        <v>2692</v>
      </c>
      <c r="E29" s="125" t="s">
        <v>2091</v>
      </c>
      <c r="F29" s="322" t="s">
        <v>1441</v>
      </c>
      <c r="G29" s="322">
        <v>0.8</v>
      </c>
      <c r="H29" s="510"/>
      <c r="I29" s="510"/>
      <c r="J29" s="517"/>
      <c r="K29" s="517"/>
      <c r="L29" s="517"/>
      <c r="M29" s="517"/>
      <c r="N29" s="517"/>
      <c r="O29" s="517"/>
      <c r="P29" s="517"/>
      <c r="Q29" s="517"/>
      <c r="R29" s="517"/>
      <c r="S29" s="517"/>
      <c r="T29" s="517"/>
      <c r="U29" s="517"/>
      <c r="V29" s="517"/>
      <c r="W29" s="517"/>
      <c r="X29" s="517"/>
      <c r="Y29" s="517"/>
      <c r="Z29" s="517"/>
      <c r="AA29" s="517"/>
      <c r="AB29" s="517"/>
      <c r="AC29" s="517"/>
      <c r="AD29" s="511"/>
      <c r="AE29" s="511"/>
      <c r="AF29" s="511"/>
      <c r="AG29" s="511"/>
      <c r="AH29" s="511"/>
      <c r="AI29" s="511"/>
      <c r="AJ29" s="510"/>
    </row>
    <row r="30" spans="1:36" ht="20.25" thickBot="1">
      <c r="A30" s="510"/>
      <c r="B30" s="1388"/>
      <c r="C30" s="575" t="s">
        <v>1443</v>
      </c>
      <c r="D30" s="87" t="s">
        <v>2092</v>
      </c>
      <c r="E30" s="87" t="s">
        <v>2352</v>
      </c>
      <c r="F30" s="331" t="s">
        <v>1042</v>
      </c>
      <c r="G30" s="331">
        <v>0.2</v>
      </c>
      <c r="H30" s="510"/>
      <c r="I30" s="510"/>
      <c r="J30" s="517"/>
      <c r="K30" s="517"/>
      <c r="L30" s="517"/>
      <c r="M30" s="517"/>
      <c r="N30" s="517"/>
      <c r="O30" s="517"/>
      <c r="P30" s="517"/>
      <c r="Q30" s="517"/>
      <c r="R30" s="517"/>
      <c r="S30" s="517"/>
      <c r="T30" s="517"/>
      <c r="U30" s="517"/>
      <c r="V30" s="517"/>
      <c r="W30" s="517"/>
      <c r="X30" s="517"/>
      <c r="Y30" s="517"/>
      <c r="Z30" s="517"/>
      <c r="AA30" s="517"/>
      <c r="AB30" s="517"/>
      <c r="AC30" s="517"/>
      <c r="AD30" s="511"/>
      <c r="AE30" s="511"/>
      <c r="AF30" s="511"/>
      <c r="AG30" s="511"/>
      <c r="AH30" s="511"/>
      <c r="AI30" s="511"/>
      <c r="AJ30" s="510"/>
    </row>
    <row r="31" spans="1:36" ht="30.75" thickBot="1">
      <c r="A31" s="510"/>
      <c r="B31" s="1388"/>
      <c r="C31" s="576" t="s">
        <v>1209</v>
      </c>
      <c r="D31" s="152" t="s">
        <v>2354</v>
      </c>
      <c r="E31" s="152" t="s">
        <v>2355</v>
      </c>
      <c r="F31" s="153" t="s">
        <v>1210</v>
      </c>
      <c r="G31" s="153">
        <v>0.24</v>
      </c>
      <c r="H31" s="510"/>
      <c r="I31" s="510"/>
      <c r="J31" s="1331" t="s">
        <v>2353</v>
      </c>
      <c r="K31" s="1332"/>
      <c r="L31" s="1332"/>
      <c r="M31" s="1332"/>
      <c r="N31" s="1332"/>
      <c r="O31" s="1332"/>
      <c r="P31" s="1332"/>
      <c r="Q31" s="1332"/>
      <c r="R31" s="1332"/>
      <c r="S31" s="1332"/>
      <c r="T31" s="1332"/>
      <c r="U31" s="1332"/>
      <c r="V31" s="1332"/>
      <c r="W31" s="1332"/>
      <c r="X31" s="1332"/>
      <c r="Y31" s="1332"/>
      <c r="Z31" s="1332"/>
      <c r="AA31" s="1332"/>
      <c r="AB31" s="1332"/>
      <c r="AC31" s="1333"/>
      <c r="AD31" s="514"/>
      <c r="AE31" s="514"/>
      <c r="AF31" s="514"/>
      <c r="AG31" s="514"/>
      <c r="AH31" s="514"/>
      <c r="AI31" s="514"/>
      <c r="AJ31" s="515"/>
    </row>
    <row r="32" spans="1:36" ht="20.25" thickBot="1">
      <c r="A32" s="510"/>
      <c r="B32" s="1388"/>
      <c r="C32" s="577" t="s">
        <v>1444</v>
      </c>
      <c r="D32" s="97" t="s">
        <v>2690</v>
      </c>
      <c r="E32" s="97" t="s">
        <v>2093</v>
      </c>
      <c r="F32" s="371" t="s">
        <v>1445</v>
      </c>
      <c r="G32" s="371">
        <v>0.03</v>
      </c>
      <c r="H32" s="510"/>
      <c r="I32" s="510"/>
      <c r="J32" s="578"/>
      <c r="K32" s="578"/>
      <c r="L32" s="578"/>
      <c r="M32" s="578"/>
      <c r="N32" s="578"/>
      <c r="O32" s="578"/>
      <c r="P32" s="578"/>
      <c r="Q32" s="578"/>
      <c r="R32" s="578"/>
      <c r="S32" s="578"/>
      <c r="T32" s="578"/>
      <c r="U32" s="578"/>
      <c r="V32" s="578"/>
      <c r="W32" s="578"/>
      <c r="X32" s="578"/>
      <c r="Y32" s="578"/>
      <c r="Z32" s="517"/>
      <c r="AA32" s="517"/>
      <c r="AB32" s="517"/>
      <c r="AC32" s="517"/>
      <c r="AD32" s="511"/>
      <c r="AE32" s="511"/>
      <c r="AF32" s="511"/>
      <c r="AG32" s="511"/>
      <c r="AH32" s="511"/>
      <c r="AI32" s="511"/>
      <c r="AJ32" s="510"/>
    </row>
    <row r="33" spans="1:36" ht="19.5">
      <c r="A33" s="510"/>
      <c r="B33" s="1388"/>
      <c r="C33" s="577" t="s">
        <v>1240</v>
      </c>
      <c r="D33" s="97" t="s">
        <v>2568</v>
      </c>
      <c r="E33" s="97" t="s">
        <v>2569</v>
      </c>
      <c r="F33" s="371" t="s">
        <v>1241</v>
      </c>
      <c r="G33" s="371">
        <v>0.01</v>
      </c>
      <c r="H33" s="510"/>
      <c r="I33" s="510"/>
      <c r="J33" s="519"/>
      <c r="K33" s="520"/>
      <c r="L33" s="521" t="s">
        <v>2301</v>
      </c>
      <c r="M33" s="522" t="s">
        <v>2292</v>
      </c>
      <c r="N33" s="522" t="s">
        <v>2483</v>
      </c>
      <c r="O33" s="522" t="s">
        <v>853</v>
      </c>
      <c r="P33" s="522" t="s">
        <v>2492</v>
      </c>
      <c r="Q33" s="522" t="s">
        <v>2348</v>
      </c>
      <c r="R33" s="522" t="s">
        <v>2297</v>
      </c>
      <c r="S33" s="522" t="s">
        <v>2481</v>
      </c>
      <c r="T33" s="522" t="s">
        <v>2306</v>
      </c>
      <c r="U33" s="522" t="s">
        <v>2337</v>
      </c>
      <c r="V33" s="522" t="s">
        <v>2081</v>
      </c>
      <c r="W33" s="522" t="s">
        <v>2343</v>
      </c>
      <c r="X33" s="523" t="s">
        <v>2520</v>
      </c>
      <c r="Y33" s="1394" t="s">
        <v>2288</v>
      </c>
      <c r="Z33" s="1395"/>
      <c r="AA33" s="1395"/>
      <c r="AB33" s="1395"/>
      <c r="AC33" s="1396"/>
      <c r="AD33" s="511"/>
      <c r="AE33" s="511"/>
      <c r="AF33" s="511"/>
      <c r="AG33" s="511"/>
      <c r="AH33" s="511"/>
      <c r="AI33" s="511"/>
      <c r="AJ33" s="510"/>
    </row>
    <row r="34" spans="1:36" ht="93">
      <c r="A34" s="510"/>
      <c r="B34" s="1388"/>
      <c r="C34" s="577" t="s">
        <v>1246</v>
      </c>
      <c r="D34" s="97" t="s">
        <v>2570</v>
      </c>
      <c r="E34" s="97" t="s">
        <v>2571</v>
      </c>
      <c r="F34" s="371" t="s">
        <v>1247</v>
      </c>
      <c r="G34" s="371">
        <v>0.02</v>
      </c>
      <c r="H34" s="510"/>
      <c r="I34" s="510"/>
      <c r="J34" s="525">
        <v>1</v>
      </c>
      <c r="K34" s="526" t="s">
        <v>2689</v>
      </c>
      <c r="L34" s="527"/>
      <c r="M34" s="528" t="s">
        <v>1446</v>
      </c>
      <c r="N34" s="579" t="s">
        <v>1447</v>
      </c>
      <c r="O34" s="527"/>
      <c r="P34" s="527"/>
      <c r="Q34" s="529" t="s">
        <v>1448</v>
      </c>
      <c r="R34" s="530" t="s">
        <v>2523</v>
      </c>
      <c r="S34" s="527"/>
      <c r="T34" s="527">
        <v>-1</v>
      </c>
      <c r="U34" s="527"/>
      <c r="V34" s="527"/>
      <c r="W34" s="527"/>
      <c r="X34" s="580" t="s">
        <v>1449</v>
      </c>
      <c r="Y34" s="1381" t="s">
        <v>1450</v>
      </c>
      <c r="Z34" s="1382"/>
      <c r="AA34" s="1382"/>
      <c r="AB34" s="1382"/>
      <c r="AC34" s="1383"/>
      <c r="AD34" s="511"/>
      <c r="AE34" s="511"/>
      <c r="AF34" s="511"/>
      <c r="AG34" s="511"/>
      <c r="AH34" s="511"/>
      <c r="AI34" s="511"/>
      <c r="AJ34" s="510"/>
    </row>
    <row r="35" spans="1:36" ht="49.5">
      <c r="A35" s="510"/>
      <c r="B35" s="1388"/>
      <c r="C35" s="577" t="s">
        <v>1251</v>
      </c>
      <c r="D35" s="97" t="s">
        <v>2572</v>
      </c>
      <c r="E35" s="97" t="s">
        <v>2573</v>
      </c>
      <c r="F35" s="371" t="s">
        <v>1252</v>
      </c>
      <c r="G35" s="371">
        <v>0.04</v>
      </c>
      <c r="H35" s="510"/>
      <c r="I35" s="510"/>
      <c r="J35" s="533">
        <v>2</v>
      </c>
      <c r="K35" s="534" t="s">
        <v>1451</v>
      </c>
      <c r="L35" s="535" t="s">
        <v>1452</v>
      </c>
      <c r="M35" s="536">
        <v>-1</v>
      </c>
      <c r="N35" s="537" t="s">
        <v>2093</v>
      </c>
      <c r="O35" s="535"/>
      <c r="P35" s="535"/>
      <c r="Q35" s="538" t="s">
        <v>1453</v>
      </c>
      <c r="R35" s="535"/>
      <c r="S35" s="535"/>
      <c r="T35" s="535"/>
      <c r="U35" s="535"/>
      <c r="V35" s="537" t="s">
        <v>2087</v>
      </c>
      <c r="W35" s="535"/>
      <c r="X35" s="539" t="s">
        <v>1454</v>
      </c>
      <c r="Y35" s="1381" t="s">
        <v>1455</v>
      </c>
      <c r="Z35" s="1382"/>
      <c r="AA35" s="1382"/>
      <c r="AB35" s="1382"/>
      <c r="AC35" s="1383"/>
      <c r="AD35" s="511"/>
      <c r="AE35" s="511"/>
      <c r="AF35" s="511"/>
      <c r="AG35" s="511"/>
      <c r="AH35" s="511"/>
      <c r="AI35" s="511"/>
      <c r="AJ35" s="510"/>
    </row>
    <row r="36" spans="1:36" ht="54">
      <c r="A36" s="510"/>
      <c r="B36" s="1388"/>
      <c r="C36" s="577" t="s">
        <v>1255</v>
      </c>
      <c r="D36" s="97" t="s">
        <v>2576</v>
      </c>
      <c r="E36" s="97" t="s">
        <v>2357</v>
      </c>
      <c r="F36" s="371" t="s">
        <v>1046</v>
      </c>
      <c r="G36" s="371">
        <v>0.07</v>
      </c>
      <c r="H36" s="510"/>
      <c r="I36" s="510"/>
      <c r="J36" s="533">
        <v>3</v>
      </c>
      <c r="K36" s="534" t="s">
        <v>1456</v>
      </c>
      <c r="L36" s="535"/>
      <c r="M36" s="536">
        <v>-1</v>
      </c>
      <c r="N36" s="537" t="s">
        <v>2093</v>
      </c>
      <c r="O36" s="535" t="s">
        <v>1457</v>
      </c>
      <c r="P36" s="535" t="s">
        <v>1458</v>
      </c>
      <c r="Q36" s="537" t="s">
        <v>1459</v>
      </c>
      <c r="R36" s="535"/>
      <c r="S36" s="535"/>
      <c r="T36" s="535"/>
      <c r="U36" s="535"/>
      <c r="V36" s="537" t="s">
        <v>2091</v>
      </c>
      <c r="W36" s="535"/>
      <c r="X36" s="539" t="s">
        <v>1460</v>
      </c>
      <c r="Y36" s="1381" t="s">
        <v>1461</v>
      </c>
      <c r="Z36" s="1382"/>
      <c r="AA36" s="1382"/>
      <c r="AB36" s="1382"/>
      <c r="AC36" s="1383"/>
      <c r="AD36" s="511"/>
      <c r="AE36" s="511"/>
      <c r="AF36" s="511"/>
      <c r="AG36" s="511"/>
      <c r="AH36" s="511"/>
      <c r="AI36" s="511"/>
      <c r="AJ36" s="510"/>
    </row>
    <row r="37" spans="1:36" ht="73.5">
      <c r="A37" s="510"/>
      <c r="B37" s="1388"/>
      <c r="C37" s="581" t="s">
        <v>1295</v>
      </c>
      <c r="D37" s="386" t="s">
        <v>2088</v>
      </c>
      <c r="E37" s="386" t="s">
        <v>2591</v>
      </c>
      <c r="F37" s="387" t="s">
        <v>1296</v>
      </c>
      <c r="G37" s="387">
        <v>0.75</v>
      </c>
      <c r="H37" s="510"/>
      <c r="I37" s="510"/>
      <c r="J37" s="533">
        <v>4</v>
      </c>
      <c r="K37" s="534" t="s">
        <v>1462</v>
      </c>
      <c r="L37" s="535" t="s">
        <v>1463</v>
      </c>
      <c r="M37" s="535"/>
      <c r="N37" s="535" t="s">
        <v>1050</v>
      </c>
      <c r="O37" s="535"/>
      <c r="P37" s="535"/>
      <c r="Q37" s="537" t="s">
        <v>1464</v>
      </c>
      <c r="R37" s="535"/>
      <c r="S37" s="535"/>
      <c r="T37" s="535"/>
      <c r="U37" s="536">
        <v>1</v>
      </c>
      <c r="V37" s="535" t="s">
        <v>1465</v>
      </c>
      <c r="W37" s="535"/>
      <c r="X37" s="540" t="s">
        <v>1466</v>
      </c>
      <c r="Y37" s="1381" t="s">
        <v>1467</v>
      </c>
      <c r="Z37" s="1382"/>
      <c r="AA37" s="1382"/>
      <c r="AB37" s="1382"/>
      <c r="AC37" s="1383"/>
      <c r="AD37" s="511"/>
      <c r="AE37" s="511"/>
      <c r="AF37" s="511"/>
      <c r="AG37" s="511"/>
      <c r="AH37" s="511"/>
      <c r="AI37" s="511"/>
      <c r="AJ37" s="510"/>
    </row>
    <row r="38" spans="1:36" ht="93">
      <c r="A38" s="510"/>
      <c r="B38" s="1388"/>
      <c r="C38" s="581" t="s">
        <v>1300</v>
      </c>
      <c r="D38" s="386" t="s">
        <v>2089</v>
      </c>
      <c r="E38" s="386" t="s">
        <v>2593</v>
      </c>
      <c r="F38" s="387" t="s">
        <v>1301</v>
      </c>
      <c r="G38" s="387">
        <v>0.75</v>
      </c>
      <c r="H38" s="510"/>
      <c r="I38" s="510"/>
      <c r="J38" s="533">
        <v>5</v>
      </c>
      <c r="K38" s="534" t="s">
        <v>1468</v>
      </c>
      <c r="L38" s="535"/>
      <c r="M38" s="535"/>
      <c r="N38" s="535" t="s">
        <v>1050</v>
      </c>
      <c r="O38" s="535" t="s">
        <v>1469</v>
      </c>
      <c r="P38" s="535" t="s">
        <v>1470</v>
      </c>
      <c r="Q38" s="537" t="s">
        <v>1471</v>
      </c>
      <c r="R38" s="535"/>
      <c r="S38" s="535"/>
      <c r="T38" s="535"/>
      <c r="U38" s="536">
        <v>1</v>
      </c>
      <c r="V38" s="535" t="s">
        <v>1472</v>
      </c>
      <c r="W38" s="535"/>
      <c r="X38" s="540" t="s">
        <v>1473</v>
      </c>
      <c r="Y38" s="1381" t="s">
        <v>1474</v>
      </c>
      <c r="Z38" s="1382"/>
      <c r="AA38" s="1382"/>
      <c r="AB38" s="1382"/>
      <c r="AC38" s="1383"/>
      <c r="AD38" s="511"/>
      <c r="AE38" s="511"/>
      <c r="AF38" s="511"/>
      <c r="AG38" s="511"/>
      <c r="AH38" s="511"/>
      <c r="AI38" s="511"/>
      <c r="AJ38" s="510"/>
    </row>
    <row r="39" spans="1:36" ht="54">
      <c r="A39" s="510"/>
      <c r="B39" s="1388"/>
      <c r="C39" s="581" t="s">
        <v>2596</v>
      </c>
      <c r="D39" s="386" t="s">
        <v>2079</v>
      </c>
      <c r="E39" s="386" t="s">
        <v>2094</v>
      </c>
      <c r="F39" s="387" t="s">
        <v>1475</v>
      </c>
      <c r="G39" s="387">
        <v>0.9</v>
      </c>
      <c r="H39" s="510"/>
      <c r="I39" s="510"/>
      <c r="J39" s="533">
        <v>6</v>
      </c>
      <c r="K39" s="534" t="s">
        <v>1476</v>
      </c>
      <c r="L39" s="535" t="s">
        <v>1477</v>
      </c>
      <c r="M39" s="535"/>
      <c r="N39" s="535" t="s">
        <v>1478</v>
      </c>
      <c r="O39" s="535"/>
      <c r="P39" s="535"/>
      <c r="Q39" s="537" t="s">
        <v>1479</v>
      </c>
      <c r="R39" s="535"/>
      <c r="S39" s="537" t="s">
        <v>2352</v>
      </c>
      <c r="T39" s="535"/>
      <c r="U39" s="536">
        <v>-1</v>
      </c>
      <c r="V39" s="535"/>
      <c r="W39" s="535"/>
      <c r="X39" s="540" t="s">
        <v>1480</v>
      </c>
      <c r="Y39" s="1381" t="s">
        <v>1481</v>
      </c>
      <c r="Z39" s="1382"/>
      <c r="AA39" s="1382"/>
      <c r="AB39" s="1382"/>
      <c r="AC39" s="1383"/>
      <c r="AD39" s="511"/>
      <c r="AE39" s="511"/>
      <c r="AF39" s="511"/>
      <c r="AG39" s="511"/>
      <c r="AH39" s="511"/>
      <c r="AI39" s="511"/>
      <c r="AJ39" s="510"/>
    </row>
    <row r="40" spans="1:36" ht="54">
      <c r="A40" s="510"/>
      <c r="B40" s="1388"/>
      <c r="C40" s="582" t="s">
        <v>1482</v>
      </c>
      <c r="D40" s="583" t="s">
        <v>2095</v>
      </c>
      <c r="E40" s="386" t="s">
        <v>2598</v>
      </c>
      <c r="F40" s="387" t="s">
        <v>1311</v>
      </c>
      <c r="G40" s="387">
        <v>0.6</v>
      </c>
      <c r="H40" s="584"/>
      <c r="I40" s="584"/>
      <c r="J40" s="533">
        <v>7</v>
      </c>
      <c r="K40" s="534" t="s">
        <v>1483</v>
      </c>
      <c r="L40" s="535"/>
      <c r="M40" s="535"/>
      <c r="N40" s="535" t="s">
        <v>1478</v>
      </c>
      <c r="O40" s="535" t="s">
        <v>1484</v>
      </c>
      <c r="P40" s="535" t="s">
        <v>1485</v>
      </c>
      <c r="Q40" s="537" t="s">
        <v>1486</v>
      </c>
      <c r="R40" s="535"/>
      <c r="S40" s="537" t="s">
        <v>2352</v>
      </c>
      <c r="T40" s="535"/>
      <c r="U40" s="536">
        <v>-1</v>
      </c>
      <c r="V40" s="535"/>
      <c r="W40" s="535"/>
      <c r="X40" s="540" t="s">
        <v>1480</v>
      </c>
      <c r="Y40" s="1381" t="s">
        <v>1487</v>
      </c>
      <c r="Z40" s="1382"/>
      <c r="AA40" s="1382"/>
      <c r="AB40" s="1382"/>
      <c r="AC40" s="1383"/>
      <c r="AD40" s="511"/>
      <c r="AE40" s="511"/>
      <c r="AF40" s="511"/>
      <c r="AG40" s="511"/>
      <c r="AH40" s="511"/>
      <c r="AI40" s="511"/>
      <c r="AJ40" s="510"/>
    </row>
    <row r="41" spans="1:36" ht="19.5">
      <c r="A41" s="510"/>
      <c r="B41" s="1388"/>
      <c r="C41" s="585" t="s">
        <v>1488</v>
      </c>
      <c r="D41" s="586" t="s">
        <v>2374</v>
      </c>
      <c r="E41" s="586" t="s">
        <v>2374</v>
      </c>
      <c r="F41" s="362" t="s">
        <v>2375</v>
      </c>
      <c r="G41" s="364">
        <f>40/14</f>
        <v>2.857142857142857</v>
      </c>
      <c r="H41" s="513"/>
      <c r="I41" s="513"/>
      <c r="J41" s="533" t="s">
        <v>2486</v>
      </c>
      <c r="K41" s="534" t="s">
        <v>1489</v>
      </c>
      <c r="L41" s="536">
        <v>-1</v>
      </c>
      <c r="M41" s="535"/>
      <c r="N41" s="535"/>
      <c r="O41" s="535"/>
      <c r="P41" s="535"/>
      <c r="Q41" s="535"/>
      <c r="R41" s="535"/>
      <c r="S41" s="535"/>
      <c r="T41" s="535"/>
      <c r="U41" s="535"/>
      <c r="V41" s="536">
        <v>-1</v>
      </c>
      <c r="W41" s="535"/>
      <c r="X41" s="540" t="s">
        <v>1490</v>
      </c>
      <c r="Y41" s="1381" t="s">
        <v>1491</v>
      </c>
      <c r="Z41" s="1382"/>
      <c r="AA41" s="1382"/>
      <c r="AB41" s="1382"/>
      <c r="AC41" s="1383"/>
      <c r="AD41" s="511"/>
      <c r="AE41" s="511"/>
      <c r="AF41" s="511"/>
      <c r="AG41" s="511"/>
      <c r="AH41" s="511"/>
      <c r="AI41" s="511"/>
      <c r="AJ41" s="510"/>
    </row>
    <row r="42" spans="1:36" ht="19.5">
      <c r="A42" s="510"/>
      <c r="B42" s="1388"/>
      <c r="C42" s="585" t="s">
        <v>1492</v>
      </c>
      <c r="D42" s="102" t="s">
        <v>2376</v>
      </c>
      <c r="E42" s="102" t="s">
        <v>2376</v>
      </c>
      <c r="F42" s="362" t="s">
        <v>2375</v>
      </c>
      <c r="G42" s="364">
        <f>-64/14</f>
        <v>-4.571428571428571</v>
      </c>
      <c r="H42" s="513"/>
      <c r="I42" s="513"/>
      <c r="J42" s="533" t="s">
        <v>2493</v>
      </c>
      <c r="K42" s="534" t="s">
        <v>1493</v>
      </c>
      <c r="L42" s="535"/>
      <c r="M42" s="535"/>
      <c r="N42" s="535"/>
      <c r="O42" s="535" t="s">
        <v>1494</v>
      </c>
      <c r="P42" s="535" t="s">
        <v>1495</v>
      </c>
      <c r="Q42" s="537" t="s">
        <v>1496</v>
      </c>
      <c r="R42" s="535"/>
      <c r="S42" s="535"/>
      <c r="T42" s="535"/>
      <c r="U42" s="535"/>
      <c r="V42" s="536">
        <v>-1</v>
      </c>
      <c r="W42" s="535"/>
      <c r="X42" s="540" t="s">
        <v>1490</v>
      </c>
      <c r="Y42" s="1381" t="s">
        <v>1497</v>
      </c>
      <c r="Z42" s="1382"/>
      <c r="AA42" s="1382"/>
      <c r="AB42" s="1382"/>
      <c r="AC42" s="1383"/>
      <c r="AD42" s="511"/>
      <c r="AE42" s="511"/>
      <c r="AF42" s="511"/>
      <c r="AG42" s="511"/>
      <c r="AH42" s="511"/>
      <c r="AI42" s="511"/>
      <c r="AJ42" s="510"/>
    </row>
    <row r="43" spans="1:36" ht="58.5">
      <c r="A43" s="510"/>
      <c r="B43" s="1388"/>
      <c r="C43" s="585" t="s">
        <v>1498</v>
      </c>
      <c r="D43" s="102" t="s">
        <v>2377</v>
      </c>
      <c r="E43" s="102" t="s">
        <v>2377</v>
      </c>
      <c r="F43" s="362" t="s">
        <v>2375</v>
      </c>
      <c r="G43" s="587">
        <f>-24/14</f>
        <v>-1.7142857142857142</v>
      </c>
      <c r="H43" s="513"/>
      <c r="I43" s="513"/>
      <c r="J43" s="541" t="s">
        <v>2499</v>
      </c>
      <c r="K43" s="542" t="s">
        <v>1499</v>
      </c>
      <c r="L43" s="543" t="s">
        <v>1500</v>
      </c>
      <c r="M43" s="543"/>
      <c r="N43" s="543" t="s">
        <v>1501</v>
      </c>
      <c r="O43" s="543" t="s">
        <v>1502</v>
      </c>
      <c r="P43" s="543"/>
      <c r="Q43" s="544" t="s">
        <v>1503</v>
      </c>
      <c r="R43" s="543"/>
      <c r="S43" s="543"/>
      <c r="T43" s="543"/>
      <c r="U43" s="543"/>
      <c r="V43" s="543"/>
      <c r="W43" s="545">
        <v>1</v>
      </c>
      <c r="X43" s="546" t="s">
        <v>2598</v>
      </c>
      <c r="Y43" s="1381" t="s">
        <v>1504</v>
      </c>
      <c r="Z43" s="1382"/>
      <c r="AA43" s="1382"/>
      <c r="AB43" s="1382"/>
      <c r="AC43" s="1383"/>
      <c r="AD43" s="511"/>
      <c r="AE43" s="511"/>
      <c r="AF43" s="511"/>
      <c r="AG43" s="511"/>
      <c r="AH43" s="511"/>
      <c r="AI43" s="511"/>
      <c r="AJ43" s="510"/>
    </row>
    <row r="44" spans="1:36" ht="54">
      <c r="A44" s="510"/>
      <c r="B44" s="1388"/>
      <c r="C44" s="585" t="s">
        <v>1505</v>
      </c>
      <c r="D44" s="102" t="s">
        <v>2317</v>
      </c>
      <c r="E44" s="102" t="s">
        <v>2317</v>
      </c>
      <c r="F44" s="362" t="s">
        <v>2378</v>
      </c>
      <c r="G44" s="364">
        <f>1/14</f>
        <v>0.07142857142857142</v>
      </c>
      <c r="H44" s="513"/>
      <c r="I44" s="513"/>
      <c r="J44" s="541" t="s">
        <v>2502</v>
      </c>
      <c r="K44" s="542" t="s">
        <v>1506</v>
      </c>
      <c r="L44" s="543" t="s">
        <v>1477</v>
      </c>
      <c r="M44" s="543"/>
      <c r="N44" s="543" t="s">
        <v>1478</v>
      </c>
      <c r="O44" s="543"/>
      <c r="P44" s="543"/>
      <c r="Q44" s="544" t="s">
        <v>1507</v>
      </c>
      <c r="R44" s="543"/>
      <c r="S44" s="544" t="s">
        <v>2352</v>
      </c>
      <c r="T44" s="543"/>
      <c r="U44" s="543"/>
      <c r="V44" s="543"/>
      <c r="W44" s="545">
        <v>-1</v>
      </c>
      <c r="X44" s="547" t="s">
        <v>1480</v>
      </c>
      <c r="Y44" s="1381" t="s">
        <v>1508</v>
      </c>
      <c r="Z44" s="1382"/>
      <c r="AA44" s="1382"/>
      <c r="AB44" s="1382"/>
      <c r="AC44" s="1383"/>
      <c r="AD44" s="511"/>
      <c r="AE44" s="511"/>
      <c r="AF44" s="511"/>
      <c r="AG44" s="511"/>
      <c r="AH44" s="511"/>
      <c r="AI44" s="511"/>
      <c r="AJ44" s="510"/>
    </row>
    <row r="45" spans="1:36" ht="54.75" thickBot="1">
      <c r="A45" s="510"/>
      <c r="B45" s="1389"/>
      <c r="C45" s="588" t="s">
        <v>1509</v>
      </c>
      <c r="D45" s="108" t="s">
        <v>2379</v>
      </c>
      <c r="E45" s="108" t="s">
        <v>2379</v>
      </c>
      <c r="F45" s="589" t="s">
        <v>2378</v>
      </c>
      <c r="G45" s="590">
        <f>-1/14</f>
        <v>-0.07142857142857142</v>
      </c>
      <c r="H45" s="591"/>
      <c r="I45" s="591"/>
      <c r="J45" s="548" t="s">
        <v>2082</v>
      </c>
      <c r="K45" s="542" t="s">
        <v>1510</v>
      </c>
      <c r="L45" s="549"/>
      <c r="M45" s="549"/>
      <c r="N45" s="549" t="s">
        <v>1478</v>
      </c>
      <c r="O45" s="549" t="s">
        <v>1484</v>
      </c>
      <c r="P45" s="549" t="s">
        <v>1485</v>
      </c>
      <c r="Q45" s="550" t="s">
        <v>1511</v>
      </c>
      <c r="R45" s="549"/>
      <c r="S45" s="550" t="s">
        <v>2352</v>
      </c>
      <c r="T45" s="549"/>
      <c r="U45" s="549"/>
      <c r="V45" s="549"/>
      <c r="W45" s="551">
        <v>-1</v>
      </c>
      <c r="X45" s="552" t="s">
        <v>1480</v>
      </c>
      <c r="Y45" s="1384" t="s">
        <v>1512</v>
      </c>
      <c r="Z45" s="1385"/>
      <c r="AA45" s="1385"/>
      <c r="AB45" s="1385"/>
      <c r="AC45" s="1386"/>
      <c r="AD45" s="511"/>
      <c r="AE45" s="511"/>
      <c r="AF45" s="511"/>
      <c r="AG45" s="511"/>
      <c r="AH45" s="511"/>
      <c r="AI45" s="511"/>
      <c r="AJ45" s="510"/>
    </row>
    <row r="46" spans="1:36" ht="20.25" thickBot="1">
      <c r="A46" s="510"/>
      <c r="B46" s="1387" t="s">
        <v>2096</v>
      </c>
      <c r="C46" s="592" t="s">
        <v>2381</v>
      </c>
      <c r="D46" s="593" t="s">
        <v>2097</v>
      </c>
      <c r="E46" s="594" t="s">
        <v>2383</v>
      </c>
      <c r="F46" s="595" t="s">
        <v>1072</v>
      </c>
      <c r="G46" s="314">
        <v>3</v>
      </c>
      <c r="H46" s="591"/>
      <c r="I46" s="591"/>
      <c r="J46" s="556"/>
      <c r="K46" s="1390" t="s">
        <v>2328</v>
      </c>
      <c r="L46" s="1391"/>
      <c r="M46" s="1391"/>
      <c r="N46" s="1391"/>
      <c r="O46" s="1391"/>
      <c r="P46" s="1391"/>
      <c r="Q46" s="1391"/>
      <c r="R46" s="1391"/>
      <c r="S46" s="1391"/>
      <c r="T46" s="1391"/>
      <c r="U46" s="1391"/>
      <c r="V46" s="1391"/>
      <c r="W46" s="1391"/>
      <c r="X46" s="1392"/>
      <c r="Y46" s="556"/>
      <c r="Z46" s="556"/>
      <c r="AA46" s="556"/>
      <c r="AB46" s="556"/>
      <c r="AC46" s="556"/>
      <c r="AD46" s="511"/>
      <c r="AE46" s="511"/>
      <c r="AF46" s="511"/>
      <c r="AG46" s="511"/>
      <c r="AH46" s="511"/>
      <c r="AI46" s="511"/>
      <c r="AJ46" s="510"/>
    </row>
    <row r="47" spans="1:36" ht="19.5">
      <c r="A47" s="510"/>
      <c r="B47" s="1388"/>
      <c r="C47" s="596" t="s">
        <v>1318</v>
      </c>
      <c r="D47" s="594" t="s">
        <v>2384</v>
      </c>
      <c r="E47" s="594" t="s">
        <v>2385</v>
      </c>
      <c r="F47" s="595" t="s">
        <v>1075</v>
      </c>
      <c r="G47" s="597">
        <v>1</v>
      </c>
      <c r="H47" s="591"/>
      <c r="I47" s="591"/>
      <c r="J47" s="559"/>
      <c r="K47" s="560" t="s">
        <v>2332</v>
      </c>
      <c r="L47" s="561">
        <v>-1</v>
      </c>
      <c r="M47" s="561">
        <v>1</v>
      </c>
      <c r="N47" s="562"/>
      <c r="O47" s="563" t="s">
        <v>2376</v>
      </c>
      <c r="P47" s="563" t="s">
        <v>2377</v>
      </c>
      <c r="Q47" s="562"/>
      <c r="R47" s="561">
        <v>1</v>
      </c>
      <c r="S47" s="561">
        <v>1</v>
      </c>
      <c r="T47" s="561">
        <v>1</v>
      </c>
      <c r="U47" s="561">
        <v>1</v>
      </c>
      <c r="V47" s="561">
        <v>1</v>
      </c>
      <c r="W47" s="561">
        <v>1</v>
      </c>
      <c r="X47" s="564"/>
      <c r="Y47" s="559"/>
      <c r="Z47" s="556"/>
      <c r="AA47" s="556"/>
      <c r="AB47" s="556"/>
      <c r="AC47" s="556"/>
      <c r="AD47" s="511"/>
      <c r="AE47" s="511"/>
      <c r="AF47" s="511"/>
      <c r="AG47" s="511"/>
      <c r="AH47" s="511"/>
      <c r="AI47" s="511"/>
      <c r="AJ47" s="510"/>
    </row>
    <row r="48" spans="1:36" ht="19.5">
      <c r="A48" s="510"/>
      <c r="B48" s="1388"/>
      <c r="C48" s="403" t="s">
        <v>1513</v>
      </c>
      <c r="D48" s="125" t="s">
        <v>2098</v>
      </c>
      <c r="E48" s="125" t="s">
        <v>2099</v>
      </c>
      <c r="F48" s="322" t="s">
        <v>1072</v>
      </c>
      <c r="G48" s="322">
        <v>5</v>
      </c>
      <c r="H48" s="591"/>
      <c r="I48" s="591"/>
      <c r="J48" s="559"/>
      <c r="K48" s="566" t="s">
        <v>2338</v>
      </c>
      <c r="L48" s="567"/>
      <c r="M48" s="568" t="s">
        <v>2093</v>
      </c>
      <c r="N48" s="569">
        <v>1</v>
      </c>
      <c r="O48" s="569">
        <v>1</v>
      </c>
      <c r="P48" s="569">
        <v>1</v>
      </c>
      <c r="Q48" s="567"/>
      <c r="R48" s="568" t="s">
        <v>2569</v>
      </c>
      <c r="S48" s="568" t="s">
        <v>2571</v>
      </c>
      <c r="T48" s="568" t="s">
        <v>2573</v>
      </c>
      <c r="U48" s="568" t="s">
        <v>2357</v>
      </c>
      <c r="V48" s="567"/>
      <c r="W48" s="568" t="s">
        <v>2357</v>
      </c>
      <c r="X48" s="570"/>
      <c r="Y48" s="559"/>
      <c r="Z48" s="556"/>
      <c r="AA48" s="556"/>
      <c r="AB48" s="556"/>
      <c r="AC48" s="556"/>
      <c r="AD48" s="511"/>
      <c r="AE48" s="511"/>
      <c r="AF48" s="511"/>
      <c r="AG48" s="511"/>
      <c r="AH48" s="511"/>
      <c r="AI48" s="511"/>
      <c r="AJ48" s="510"/>
    </row>
    <row r="49" spans="1:36" ht="19.5">
      <c r="A49" s="510"/>
      <c r="B49" s="1388"/>
      <c r="C49" s="403" t="s">
        <v>1325</v>
      </c>
      <c r="D49" s="125" t="s">
        <v>2391</v>
      </c>
      <c r="E49" s="125" t="s">
        <v>2392</v>
      </c>
      <c r="F49" s="322" t="s">
        <v>1077</v>
      </c>
      <c r="G49" s="322">
        <v>2</v>
      </c>
      <c r="H49" s="591"/>
      <c r="I49" s="591"/>
      <c r="J49" s="559"/>
      <c r="K49" s="566" t="s">
        <v>2344</v>
      </c>
      <c r="L49" s="567"/>
      <c r="M49" s="567"/>
      <c r="N49" s="568" t="s">
        <v>2317</v>
      </c>
      <c r="O49" s="568" t="s">
        <v>2379</v>
      </c>
      <c r="P49" s="567"/>
      <c r="Q49" s="569">
        <v>-1</v>
      </c>
      <c r="R49" s="567"/>
      <c r="S49" s="567"/>
      <c r="T49" s="567"/>
      <c r="U49" s="567"/>
      <c r="V49" s="567"/>
      <c r="W49" s="567"/>
      <c r="X49" s="570"/>
      <c r="Y49" s="559"/>
      <c r="Z49" s="556"/>
      <c r="AA49" s="556"/>
      <c r="AB49" s="556"/>
      <c r="AC49" s="556"/>
      <c r="AD49" s="511"/>
      <c r="AE49" s="511"/>
      <c r="AF49" s="511"/>
      <c r="AG49" s="511"/>
      <c r="AH49" s="511"/>
      <c r="AI49" s="511"/>
      <c r="AJ49" s="510"/>
    </row>
    <row r="50" spans="1:36" ht="20.25" thickBot="1">
      <c r="A50" s="510"/>
      <c r="B50" s="1388"/>
      <c r="C50" s="403" t="s">
        <v>1326</v>
      </c>
      <c r="D50" s="125" t="s">
        <v>2100</v>
      </c>
      <c r="E50" s="125" t="s">
        <v>2395</v>
      </c>
      <c r="F50" s="322" t="s">
        <v>2389</v>
      </c>
      <c r="G50" s="322">
        <v>0.6</v>
      </c>
      <c r="H50" s="591"/>
      <c r="I50" s="591"/>
      <c r="J50" s="556"/>
      <c r="K50" s="571" t="s">
        <v>2548</v>
      </c>
      <c r="L50" s="572"/>
      <c r="M50" s="572"/>
      <c r="N50" s="572"/>
      <c r="O50" s="572"/>
      <c r="P50" s="572"/>
      <c r="Q50" s="572"/>
      <c r="R50" s="572"/>
      <c r="S50" s="573" t="s">
        <v>2591</v>
      </c>
      <c r="T50" s="573" t="s">
        <v>2593</v>
      </c>
      <c r="U50" s="573" t="s">
        <v>2598</v>
      </c>
      <c r="V50" s="573" t="s">
        <v>2101</v>
      </c>
      <c r="W50" s="573" t="s">
        <v>2598</v>
      </c>
      <c r="X50" s="574">
        <v>-1</v>
      </c>
      <c r="Y50" s="556"/>
      <c r="Z50" s="556"/>
      <c r="AA50" s="556"/>
      <c r="AB50" s="556"/>
      <c r="AC50" s="556"/>
      <c r="AD50" s="511"/>
      <c r="AE50" s="511"/>
      <c r="AF50" s="511"/>
      <c r="AG50" s="511"/>
      <c r="AH50" s="511"/>
      <c r="AI50" s="511"/>
      <c r="AJ50" s="510"/>
    </row>
    <row r="51" spans="1:36" ht="19.5">
      <c r="A51" s="510"/>
      <c r="B51" s="1388"/>
      <c r="C51" s="403" t="s">
        <v>1078</v>
      </c>
      <c r="D51" s="125" t="s">
        <v>2102</v>
      </c>
      <c r="E51" s="125" t="s">
        <v>2399</v>
      </c>
      <c r="F51" s="322" t="s">
        <v>1079</v>
      </c>
      <c r="G51" s="322">
        <v>2</v>
      </c>
      <c r="H51" s="591"/>
      <c r="I51" s="591"/>
      <c r="J51" s="517"/>
      <c r="K51" s="517"/>
      <c r="L51" s="517"/>
      <c r="M51" s="517"/>
      <c r="N51" s="517"/>
      <c r="O51" s="517"/>
      <c r="P51" s="517"/>
      <c r="Q51" s="517"/>
      <c r="R51" s="517"/>
      <c r="S51" s="517"/>
      <c r="T51" s="517"/>
      <c r="U51" s="517"/>
      <c r="V51" s="517"/>
      <c r="W51" s="517"/>
      <c r="X51" s="517"/>
      <c r="Y51" s="517"/>
      <c r="Z51" s="517"/>
      <c r="AA51" s="517"/>
      <c r="AB51" s="517"/>
      <c r="AC51" s="517"/>
      <c r="AD51" s="511"/>
      <c r="AE51" s="511"/>
      <c r="AF51" s="511"/>
      <c r="AG51" s="511"/>
      <c r="AH51" s="511"/>
      <c r="AI51" s="511"/>
      <c r="AJ51" s="510"/>
    </row>
    <row r="52" spans="1:36" ht="20.25" thickBot="1">
      <c r="A52" s="510"/>
      <c r="B52" s="1388"/>
      <c r="C52" s="403" t="s">
        <v>1514</v>
      </c>
      <c r="D52" s="125" t="s">
        <v>2103</v>
      </c>
      <c r="E52" s="125" t="s">
        <v>2104</v>
      </c>
      <c r="F52" s="322" t="s">
        <v>1515</v>
      </c>
      <c r="G52" s="322">
        <v>1</v>
      </c>
      <c r="H52" s="591"/>
      <c r="I52" s="591"/>
      <c r="J52" s="517"/>
      <c r="K52" s="517"/>
      <c r="L52" s="517"/>
      <c r="M52" s="517"/>
      <c r="N52" s="517"/>
      <c r="O52" s="517"/>
      <c r="P52" s="517"/>
      <c r="Q52" s="517"/>
      <c r="R52" s="517"/>
      <c r="S52" s="517"/>
      <c r="T52" s="517"/>
      <c r="U52" s="517"/>
      <c r="V52" s="517"/>
      <c r="W52" s="517"/>
      <c r="X52" s="517"/>
      <c r="Y52" s="517"/>
      <c r="Z52" s="517"/>
      <c r="AA52" s="517"/>
      <c r="AB52" s="517"/>
      <c r="AC52" s="517"/>
      <c r="AD52" s="511"/>
      <c r="AE52" s="511"/>
      <c r="AF52" s="511"/>
      <c r="AG52" s="511"/>
      <c r="AH52" s="511"/>
      <c r="AI52" s="511"/>
      <c r="AJ52" s="510"/>
    </row>
    <row r="53" spans="1:36" ht="30.75" thickBot="1">
      <c r="A53" s="510"/>
      <c r="B53" s="1388"/>
      <c r="C53" s="406" t="s">
        <v>1516</v>
      </c>
      <c r="D53" s="125" t="s">
        <v>2105</v>
      </c>
      <c r="E53" s="133" t="s">
        <v>2106</v>
      </c>
      <c r="F53" s="408" t="s">
        <v>1077</v>
      </c>
      <c r="G53" s="322">
        <v>0.2</v>
      </c>
      <c r="H53" s="591"/>
      <c r="I53" s="591"/>
      <c r="J53" s="1331" t="s">
        <v>2406</v>
      </c>
      <c r="K53" s="1332"/>
      <c r="L53" s="1332"/>
      <c r="M53" s="1332"/>
      <c r="N53" s="1332"/>
      <c r="O53" s="1332"/>
      <c r="P53" s="1332"/>
      <c r="Q53" s="1332"/>
      <c r="R53" s="1332"/>
      <c r="S53" s="1332"/>
      <c r="T53" s="1332"/>
      <c r="U53" s="1332"/>
      <c r="V53" s="1332"/>
      <c r="W53" s="1332"/>
      <c r="X53" s="1332"/>
      <c r="Y53" s="1332"/>
      <c r="Z53" s="1332"/>
      <c r="AA53" s="1332"/>
      <c r="AB53" s="1332"/>
      <c r="AC53" s="1332"/>
      <c r="AD53" s="1332"/>
      <c r="AE53" s="1332"/>
      <c r="AF53" s="1332"/>
      <c r="AG53" s="1332"/>
      <c r="AH53" s="1332"/>
      <c r="AI53" s="1332"/>
      <c r="AJ53" s="1333"/>
    </row>
    <row r="54" spans="1:36" ht="19.5">
      <c r="A54" s="510"/>
      <c r="B54" s="1388"/>
      <c r="C54" s="406" t="s">
        <v>1517</v>
      </c>
      <c r="D54" s="125" t="s">
        <v>2107</v>
      </c>
      <c r="E54" s="133" t="s">
        <v>2108</v>
      </c>
      <c r="F54" s="408" t="s">
        <v>1077</v>
      </c>
      <c r="G54" s="322">
        <v>0.1</v>
      </c>
      <c r="H54" s="591"/>
      <c r="I54" s="591"/>
      <c r="J54" s="517"/>
      <c r="K54" s="517"/>
      <c r="L54" s="517"/>
      <c r="M54" s="517"/>
      <c r="N54" s="517"/>
      <c r="O54" s="517"/>
      <c r="P54" s="517"/>
      <c r="Q54" s="517"/>
      <c r="R54" s="517"/>
      <c r="S54" s="517"/>
      <c r="T54" s="517"/>
      <c r="U54" s="517"/>
      <c r="V54" s="517"/>
      <c r="W54" s="517"/>
      <c r="X54" s="517"/>
      <c r="Y54" s="517"/>
      <c r="Z54" s="517"/>
      <c r="AA54" s="517"/>
      <c r="AB54" s="517"/>
      <c r="AC54" s="517"/>
      <c r="AD54" s="511"/>
      <c r="AE54" s="511"/>
      <c r="AF54" s="511"/>
      <c r="AG54" s="511"/>
      <c r="AH54" s="511"/>
      <c r="AI54" s="511"/>
      <c r="AJ54" s="510"/>
    </row>
    <row r="55" spans="1:36" ht="20.25" thickBot="1">
      <c r="A55" s="510"/>
      <c r="B55" s="1388"/>
      <c r="C55" s="406" t="s">
        <v>1518</v>
      </c>
      <c r="D55" s="125" t="s">
        <v>2109</v>
      </c>
      <c r="E55" s="133" t="s">
        <v>2110</v>
      </c>
      <c r="F55" s="408" t="s">
        <v>1077</v>
      </c>
      <c r="G55" s="322">
        <v>0.2</v>
      </c>
      <c r="H55" s="591"/>
      <c r="I55" s="591"/>
      <c r="J55" s="511"/>
      <c r="K55" s="511"/>
      <c r="L55" s="511"/>
      <c r="M55" s="511"/>
      <c r="N55" s="511"/>
      <c r="O55" s="511"/>
      <c r="P55" s="511"/>
      <c r="Q55" s="511"/>
      <c r="R55" s="511"/>
      <c r="S55" s="511"/>
      <c r="T55" s="511"/>
      <c r="U55" s="511"/>
      <c r="V55" s="511"/>
      <c r="W55" s="511"/>
      <c r="X55" s="511"/>
      <c r="Y55" s="1393" t="s">
        <v>2328</v>
      </c>
      <c r="Z55" s="1393"/>
      <c r="AA55" s="1393"/>
      <c r="AB55" s="1393"/>
      <c r="AC55" s="1393"/>
      <c r="AD55" s="511"/>
      <c r="AE55" s="511"/>
      <c r="AF55" s="511"/>
      <c r="AG55" s="511"/>
      <c r="AH55" s="511"/>
      <c r="AI55" s="511"/>
      <c r="AJ55" s="510"/>
    </row>
    <row r="56" spans="1:36" ht="20.25" thickBot="1">
      <c r="A56" s="510"/>
      <c r="B56" s="1388"/>
      <c r="C56" s="129" t="s">
        <v>1519</v>
      </c>
      <c r="D56" s="125" t="s">
        <v>2111</v>
      </c>
      <c r="E56" s="133" t="s">
        <v>2112</v>
      </c>
      <c r="F56" s="408" t="s">
        <v>1077</v>
      </c>
      <c r="G56" s="322">
        <v>0.1</v>
      </c>
      <c r="H56" s="591"/>
      <c r="I56" s="591"/>
      <c r="J56" s="511"/>
      <c r="K56" s="511"/>
      <c r="L56" s="511"/>
      <c r="M56" s="511"/>
      <c r="N56" s="511"/>
      <c r="O56" s="511"/>
      <c r="P56" s="511"/>
      <c r="Q56" s="511"/>
      <c r="R56" s="511"/>
      <c r="S56" s="511"/>
      <c r="T56" s="511"/>
      <c r="U56" s="511"/>
      <c r="V56" s="511"/>
      <c r="W56" s="511"/>
      <c r="X56" s="511"/>
      <c r="Y56" s="598"/>
      <c r="Z56" s="599" t="s">
        <v>2332</v>
      </c>
      <c r="AA56" s="599" t="s">
        <v>2338</v>
      </c>
      <c r="AB56" s="599" t="s">
        <v>2344</v>
      </c>
      <c r="AC56" s="599" t="s">
        <v>2548</v>
      </c>
      <c r="AD56" s="511"/>
      <c r="AE56" s="511"/>
      <c r="AF56" s="511"/>
      <c r="AG56" s="511"/>
      <c r="AH56" s="511"/>
      <c r="AI56" s="511"/>
      <c r="AJ56" s="510"/>
    </row>
    <row r="57" spans="1:36" ht="19.5">
      <c r="A57" s="510"/>
      <c r="B57" s="1388"/>
      <c r="C57" s="415" t="s">
        <v>1081</v>
      </c>
      <c r="D57" s="125" t="s">
        <v>2113</v>
      </c>
      <c r="E57" s="125" t="s">
        <v>2403</v>
      </c>
      <c r="F57" s="322" t="s">
        <v>1082</v>
      </c>
      <c r="G57" s="322">
        <v>0.2</v>
      </c>
      <c r="H57" s="600"/>
      <c r="I57" s="600"/>
      <c r="J57" s="512"/>
      <c r="K57" s="512"/>
      <c r="L57" s="512"/>
      <c r="M57" s="512"/>
      <c r="N57" s="512"/>
      <c r="O57" s="512"/>
      <c r="P57" s="512"/>
      <c r="Q57" s="512"/>
      <c r="R57" s="512"/>
      <c r="S57" s="512"/>
      <c r="T57" s="512"/>
      <c r="U57" s="512"/>
      <c r="V57" s="512"/>
      <c r="W57" s="512"/>
      <c r="X57" s="512"/>
      <c r="Y57" s="601" t="s">
        <v>2626</v>
      </c>
      <c r="Z57" s="602">
        <v>-1</v>
      </c>
      <c r="AA57" s="603"/>
      <c r="AB57" s="603"/>
      <c r="AC57" s="603"/>
      <c r="AD57" s="511"/>
      <c r="AE57" s="511"/>
      <c r="AF57" s="511"/>
      <c r="AG57" s="511"/>
      <c r="AH57" s="511"/>
      <c r="AI57" s="511"/>
      <c r="AJ57" s="510"/>
    </row>
    <row r="58" spans="1:36" ht="19.5">
      <c r="A58" s="510"/>
      <c r="B58" s="1388"/>
      <c r="C58" s="415" t="s">
        <v>1083</v>
      </c>
      <c r="D58" s="125" t="s">
        <v>2114</v>
      </c>
      <c r="E58" s="82" t="s">
        <v>2405</v>
      </c>
      <c r="F58" s="322" t="s">
        <v>1084</v>
      </c>
      <c r="G58" s="322">
        <v>0.5</v>
      </c>
      <c r="H58" s="513"/>
      <c r="I58" s="513"/>
      <c r="J58" s="512"/>
      <c r="K58" s="512"/>
      <c r="L58" s="512"/>
      <c r="M58" s="512"/>
      <c r="N58" s="512"/>
      <c r="O58" s="512"/>
      <c r="P58" s="512"/>
      <c r="Q58" s="512"/>
      <c r="R58" s="512"/>
      <c r="S58" s="512"/>
      <c r="T58" s="512"/>
      <c r="U58" s="512"/>
      <c r="V58" s="512"/>
      <c r="W58" s="512"/>
      <c r="X58" s="512"/>
      <c r="Y58" s="604" t="s">
        <v>2433</v>
      </c>
      <c r="Z58" s="605">
        <v>1</v>
      </c>
      <c r="AA58" s="606">
        <f>ASM3_i_N.SS</f>
        <v>0.03</v>
      </c>
      <c r="AB58" s="606"/>
      <c r="AC58" s="606"/>
      <c r="AD58" s="511"/>
      <c r="AE58" s="511"/>
      <c r="AF58" s="511"/>
      <c r="AG58" s="511"/>
      <c r="AH58" s="511"/>
      <c r="AI58" s="511"/>
      <c r="AJ58" s="510"/>
    </row>
    <row r="59" spans="1:36" ht="19.5">
      <c r="A59" s="510"/>
      <c r="B59" s="1388"/>
      <c r="C59" s="415" t="s">
        <v>1091</v>
      </c>
      <c r="D59" s="125" t="s">
        <v>2115</v>
      </c>
      <c r="E59" s="125" t="s">
        <v>2628</v>
      </c>
      <c r="F59" s="322" t="s">
        <v>1092</v>
      </c>
      <c r="G59" s="322">
        <v>0.01</v>
      </c>
      <c r="H59" s="513"/>
      <c r="I59" s="513"/>
      <c r="J59" s="512"/>
      <c r="K59" s="512"/>
      <c r="L59" s="512"/>
      <c r="M59" s="512"/>
      <c r="N59" s="512"/>
      <c r="O59" s="512"/>
      <c r="P59" s="512"/>
      <c r="Q59" s="512"/>
      <c r="R59" s="512"/>
      <c r="S59" s="512"/>
      <c r="T59" s="512"/>
      <c r="U59" s="512"/>
      <c r="V59" s="512"/>
      <c r="W59" s="512"/>
      <c r="X59" s="512"/>
      <c r="Y59" s="604" t="s">
        <v>2631</v>
      </c>
      <c r="Z59" s="606"/>
      <c r="AA59" s="605">
        <v>1</v>
      </c>
      <c r="AB59" s="606">
        <f>ASM3_i_Charge_NHx</f>
        <v>0.07142857142857142</v>
      </c>
      <c r="AC59" s="606"/>
      <c r="AD59" s="517"/>
      <c r="AE59" s="517"/>
      <c r="AF59" s="517"/>
      <c r="AG59" s="607"/>
      <c r="AH59" s="607"/>
      <c r="AI59" s="607"/>
      <c r="AJ59" s="584"/>
    </row>
    <row r="60" spans="1:36" ht="19.5">
      <c r="A60" s="510"/>
      <c r="B60" s="1388"/>
      <c r="C60" s="415" t="s">
        <v>1341</v>
      </c>
      <c r="D60" s="125" t="s">
        <v>2116</v>
      </c>
      <c r="E60" s="125" t="s">
        <v>2632</v>
      </c>
      <c r="F60" s="322" t="s">
        <v>1343</v>
      </c>
      <c r="G60" s="322">
        <v>0.1</v>
      </c>
      <c r="H60" s="513"/>
      <c r="I60" s="513"/>
      <c r="J60" s="512"/>
      <c r="K60" s="512"/>
      <c r="L60" s="512"/>
      <c r="M60" s="512"/>
      <c r="N60" s="512"/>
      <c r="O60" s="512"/>
      <c r="P60" s="512"/>
      <c r="Q60" s="512"/>
      <c r="R60" s="512"/>
      <c r="S60" s="512"/>
      <c r="T60" s="512"/>
      <c r="U60" s="512"/>
      <c r="V60" s="512"/>
      <c r="W60" s="512"/>
      <c r="X60" s="512"/>
      <c r="Y60" s="604" t="s">
        <v>2633</v>
      </c>
      <c r="Z60" s="606">
        <f>ASM3_i_COD_NOx</f>
        <v>-4.571428571428571</v>
      </c>
      <c r="AA60" s="605">
        <v>1</v>
      </c>
      <c r="AB60" s="606">
        <f>ASM3_i_Charge_NOx</f>
        <v>-0.07142857142857142</v>
      </c>
      <c r="AC60" s="606"/>
      <c r="AD60" s="517"/>
      <c r="AE60" s="517"/>
      <c r="AF60" s="517"/>
      <c r="AG60" s="517"/>
      <c r="AH60" s="517"/>
      <c r="AI60" s="517"/>
      <c r="AJ60" s="513"/>
    </row>
    <row r="61" spans="1:36" ht="19.5">
      <c r="A61" s="510"/>
      <c r="B61" s="1388"/>
      <c r="C61" s="455" t="s">
        <v>1086</v>
      </c>
      <c r="D61" s="152" t="s">
        <v>2410</v>
      </c>
      <c r="E61" s="92" t="s">
        <v>2411</v>
      </c>
      <c r="F61" s="457" t="s">
        <v>1077</v>
      </c>
      <c r="G61" s="153">
        <v>1</v>
      </c>
      <c r="H61" s="513"/>
      <c r="I61" s="513"/>
      <c r="J61" s="512"/>
      <c r="K61" s="512"/>
      <c r="L61" s="512"/>
      <c r="M61" s="512"/>
      <c r="N61" s="512"/>
      <c r="O61" s="512"/>
      <c r="P61" s="512"/>
      <c r="Q61" s="512"/>
      <c r="R61" s="512"/>
      <c r="S61" s="512"/>
      <c r="T61" s="512"/>
      <c r="U61" s="512"/>
      <c r="V61" s="512"/>
      <c r="W61" s="512"/>
      <c r="X61" s="512"/>
      <c r="Y61" s="604" t="s">
        <v>2445</v>
      </c>
      <c r="Z61" s="606">
        <f>ASM3_i_COD_N2</f>
        <v>-1.7142857142857142</v>
      </c>
      <c r="AA61" s="605">
        <v>1</v>
      </c>
      <c r="AB61" s="606"/>
      <c r="AC61" s="606"/>
      <c r="AD61" s="578"/>
      <c r="AE61" s="517"/>
      <c r="AF61" s="517"/>
      <c r="AG61" s="517"/>
      <c r="AH61" s="517"/>
      <c r="AI61" s="517"/>
      <c r="AJ61" s="513"/>
    </row>
    <row r="62" spans="1:36" ht="19.5">
      <c r="A62" s="510"/>
      <c r="B62" s="1388"/>
      <c r="C62" s="608" t="s">
        <v>1520</v>
      </c>
      <c r="D62" s="152" t="s">
        <v>2117</v>
      </c>
      <c r="E62" s="609" t="s">
        <v>2118</v>
      </c>
      <c r="F62" s="460" t="s">
        <v>1077</v>
      </c>
      <c r="G62" s="153">
        <v>0.15</v>
      </c>
      <c r="H62" s="513"/>
      <c r="I62" s="513"/>
      <c r="J62" s="512"/>
      <c r="K62" s="512"/>
      <c r="L62" s="512"/>
      <c r="M62" s="512"/>
      <c r="N62" s="512"/>
      <c r="O62" s="512"/>
      <c r="P62" s="512"/>
      <c r="Q62" s="512"/>
      <c r="R62" s="512"/>
      <c r="S62" s="512"/>
      <c r="T62" s="512"/>
      <c r="U62" s="512"/>
      <c r="V62" s="512"/>
      <c r="W62" s="512"/>
      <c r="X62" s="512"/>
      <c r="Y62" s="604" t="s">
        <v>2444</v>
      </c>
      <c r="Z62" s="606"/>
      <c r="AA62" s="606"/>
      <c r="AB62" s="605">
        <v>-1</v>
      </c>
      <c r="AC62" s="606"/>
      <c r="AD62" s="578"/>
      <c r="AE62" s="578"/>
      <c r="AF62" s="517"/>
      <c r="AG62" s="517"/>
      <c r="AH62" s="517"/>
      <c r="AI62" s="517"/>
      <c r="AJ62" s="513"/>
    </row>
    <row r="63" spans="1:36" ht="19.5">
      <c r="A63" s="510"/>
      <c r="B63" s="1388"/>
      <c r="C63" s="610" t="s">
        <v>1521</v>
      </c>
      <c r="D63" s="152" t="s">
        <v>2119</v>
      </c>
      <c r="E63" s="152" t="s">
        <v>2120</v>
      </c>
      <c r="F63" s="153" t="s">
        <v>1077</v>
      </c>
      <c r="G63" s="153">
        <v>0.05</v>
      </c>
      <c r="H63" s="513"/>
      <c r="I63" s="513"/>
      <c r="J63" s="512"/>
      <c r="K63" s="512"/>
      <c r="L63" s="512"/>
      <c r="M63" s="512"/>
      <c r="N63" s="512"/>
      <c r="O63" s="512"/>
      <c r="P63" s="512"/>
      <c r="Q63" s="512"/>
      <c r="R63" s="512"/>
      <c r="S63" s="512"/>
      <c r="T63" s="512"/>
      <c r="U63" s="512"/>
      <c r="V63" s="512"/>
      <c r="W63" s="512"/>
      <c r="X63" s="512"/>
      <c r="Y63" s="604" t="s">
        <v>2432</v>
      </c>
      <c r="Z63" s="605">
        <v>1</v>
      </c>
      <c r="AA63" s="606">
        <f>ASM3_i_N.SI</f>
        <v>0.01</v>
      </c>
      <c r="AB63" s="606"/>
      <c r="AC63" s="606"/>
      <c r="AD63" s="578"/>
      <c r="AE63" s="578"/>
      <c r="AF63" s="578"/>
      <c r="AG63" s="517"/>
      <c r="AH63" s="517"/>
      <c r="AI63" s="517"/>
      <c r="AJ63" s="513"/>
    </row>
    <row r="64" spans="1:36" ht="19.5">
      <c r="A64" s="510"/>
      <c r="B64" s="1388"/>
      <c r="C64" s="461" t="s">
        <v>1081</v>
      </c>
      <c r="D64" s="152" t="s">
        <v>2121</v>
      </c>
      <c r="E64" s="92" t="s">
        <v>2418</v>
      </c>
      <c r="F64" s="153" t="s">
        <v>1082</v>
      </c>
      <c r="G64" s="153">
        <v>0.5</v>
      </c>
      <c r="H64" s="513"/>
      <c r="I64" s="513"/>
      <c r="J64" s="512"/>
      <c r="K64" s="512"/>
      <c r="L64" s="512"/>
      <c r="M64" s="512"/>
      <c r="N64" s="512"/>
      <c r="O64" s="512"/>
      <c r="P64" s="512"/>
      <c r="Q64" s="512"/>
      <c r="R64" s="512"/>
      <c r="S64" s="512"/>
      <c r="T64" s="512"/>
      <c r="U64" s="512"/>
      <c r="V64" s="512"/>
      <c r="W64" s="512"/>
      <c r="X64" s="512"/>
      <c r="Y64" s="604" t="s">
        <v>2434</v>
      </c>
      <c r="Z64" s="605">
        <v>1</v>
      </c>
      <c r="AA64" s="606">
        <f>ASM3_i_N.XI</f>
        <v>0.02</v>
      </c>
      <c r="AB64" s="606"/>
      <c r="AC64" s="606">
        <f>ASM3_i_SS.XI</f>
        <v>0.75</v>
      </c>
      <c r="AD64" s="578"/>
      <c r="AE64" s="578"/>
      <c r="AF64" s="578"/>
      <c r="AG64" s="578"/>
      <c r="AH64" s="578"/>
      <c r="AI64" s="578"/>
      <c r="AJ64" s="591"/>
    </row>
    <row r="65" spans="1:36" ht="19.5">
      <c r="A65" s="510"/>
      <c r="B65" s="1388"/>
      <c r="C65" s="461" t="s">
        <v>1091</v>
      </c>
      <c r="D65" s="152" t="s">
        <v>2122</v>
      </c>
      <c r="E65" s="152" t="s">
        <v>2420</v>
      </c>
      <c r="F65" s="153" t="s">
        <v>1092</v>
      </c>
      <c r="G65" s="153">
        <v>1</v>
      </c>
      <c r="H65" s="584"/>
      <c r="I65" s="584"/>
      <c r="J65" s="512"/>
      <c r="K65" s="512"/>
      <c r="L65" s="512"/>
      <c r="M65" s="512"/>
      <c r="N65" s="512"/>
      <c r="O65" s="512"/>
      <c r="P65" s="512"/>
      <c r="Q65" s="512"/>
      <c r="R65" s="512"/>
      <c r="S65" s="512"/>
      <c r="T65" s="512"/>
      <c r="U65" s="512"/>
      <c r="V65" s="512"/>
      <c r="W65" s="512"/>
      <c r="X65" s="512"/>
      <c r="Y65" s="604" t="s">
        <v>2435</v>
      </c>
      <c r="Z65" s="605">
        <v>1</v>
      </c>
      <c r="AA65" s="606">
        <f>ASM3_i_N.XS</f>
        <v>0.04</v>
      </c>
      <c r="AB65" s="606"/>
      <c r="AC65" s="606">
        <f>ASM3_i_SS.XS</f>
        <v>0.75</v>
      </c>
      <c r="AD65" s="578"/>
      <c r="AE65" s="578"/>
      <c r="AF65" s="578"/>
      <c r="AG65" s="578"/>
      <c r="AH65" s="578"/>
      <c r="AI65" s="578"/>
      <c r="AJ65" s="591"/>
    </row>
    <row r="66" spans="1:36" ht="20.25" thickBot="1">
      <c r="A66" s="510"/>
      <c r="B66" s="1389"/>
      <c r="C66" s="611" t="s">
        <v>1341</v>
      </c>
      <c r="D66" s="169" t="s">
        <v>2123</v>
      </c>
      <c r="E66" s="169" t="s">
        <v>2675</v>
      </c>
      <c r="F66" s="170" t="s">
        <v>1343</v>
      </c>
      <c r="G66" s="170">
        <v>0.5</v>
      </c>
      <c r="H66" s="513"/>
      <c r="I66" s="513"/>
      <c r="J66" s="512"/>
      <c r="K66" s="512"/>
      <c r="L66" s="512"/>
      <c r="M66" s="512"/>
      <c r="N66" s="512"/>
      <c r="O66" s="512"/>
      <c r="P66" s="512"/>
      <c r="Q66" s="512"/>
      <c r="R66" s="512"/>
      <c r="S66" s="512"/>
      <c r="T66" s="512"/>
      <c r="U66" s="512"/>
      <c r="V66" s="512"/>
      <c r="W66" s="512"/>
      <c r="X66" s="512"/>
      <c r="Y66" s="604" t="s">
        <v>2648</v>
      </c>
      <c r="Z66" s="605">
        <v>1</v>
      </c>
      <c r="AA66" s="606">
        <f>ASM3_i_N.BM</f>
        <v>0.07</v>
      </c>
      <c r="AB66" s="606"/>
      <c r="AC66" s="606">
        <f>ASM3_i_SS.BM</f>
        <v>0.9</v>
      </c>
      <c r="AD66" s="578"/>
      <c r="AE66" s="578"/>
      <c r="AF66" s="578"/>
      <c r="AG66" s="578"/>
      <c r="AH66" s="578"/>
      <c r="AI66" s="578"/>
      <c r="AJ66" s="591"/>
    </row>
    <row r="67" spans="1:36" ht="12.75">
      <c r="A67" s="510"/>
      <c r="B67" s="510"/>
      <c r="C67" s="612"/>
      <c r="D67" s="613"/>
      <c r="E67" s="510"/>
      <c r="F67" s="510"/>
      <c r="G67" s="510"/>
      <c r="H67" s="513"/>
      <c r="I67" s="513"/>
      <c r="J67" s="512"/>
      <c r="K67" s="512"/>
      <c r="L67" s="512"/>
      <c r="M67" s="512"/>
      <c r="N67" s="512"/>
      <c r="O67" s="512"/>
      <c r="P67" s="512"/>
      <c r="Q67" s="512"/>
      <c r="R67" s="512"/>
      <c r="S67" s="512"/>
      <c r="T67" s="512"/>
      <c r="U67" s="512"/>
      <c r="V67" s="512"/>
      <c r="W67" s="512"/>
      <c r="X67" s="512"/>
      <c r="Y67" s="604" t="s">
        <v>2124</v>
      </c>
      <c r="Z67" s="605">
        <v>1</v>
      </c>
      <c r="AA67" s="606"/>
      <c r="AB67" s="606"/>
      <c r="AC67" s="606">
        <f>ASM3_i_SS.STO</f>
        <v>0.6</v>
      </c>
      <c r="AD67" s="578"/>
      <c r="AE67" s="578"/>
      <c r="AF67" s="578"/>
      <c r="AG67" s="578"/>
      <c r="AH67" s="578"/>
      <c r="AI67" s="578"/>
      <c r="AJ67" s="591"/>
    </row>
    <row r="68" spans="1:36" ht="12.75">
      <c r="A68" s="510"/>
      <c r="B68" s="510"/>
      <c r="C68" s="510"/>
      <c r="D68" s="510"/>
      <c r="E68" s="510"/>
      <c r="F68" s="510"/>
      <c r="G68" s="510"/>
      <c r="H68" s="513"/>
      <c r="I68" s="513"/>
      <c r="J68" s="512"/>
      <c r="K68" s="512"/>
      <c r="L68" s="512"/>
      <c r="M68" s="512"/>
      <c r="N68" s="512"/>
      <c r="O68" s="512"/>
      <c r="P68" s="512"/>
      <c r="Q68" s="512"/>
      <c r="R68" s="512"/>
      <c r="S68" s="512"/>
      <c r="T68" s="512"/>
      <c r="U68" s="512"/>
      <c r="V68" s="512"/>
      <c r="W68" s="512"/>
      <c r="X68" s="512"/>
      <c r="Y68" s="604" t="s">
        <v>2660</v>
      </c>
      <c r="Z68" s="605">
        <v>1</v>
      </c>
      <c r="AA68" s="606">
        <f>ASM3_i_N.BM</f>
        <v>0.07</v>
      </c>
      <c r="AB68" s="606"/>
      <c r="AC68" s="606">
        <f>ASM3_i_SS.BM</f>
        <v>0.9</v>
      </c>
      <c r="AD68" s="578"/>
      <c r="AE68" s="578"/>
      <c r="AF68" s="578"/>
      <c r="AG68" s="578"/>
      <c r="AH68" s="578"/>
      <c r="AI68" s="578"/>
      <c r="AJ68" s="591"/>
    </row>
    <row r="69" spans="1:36" ht="15.75" thickBot="1">
      <c r="A69" s="510"/>
      <c r="B69" s="510"/>
      <c r="C69" s="172" t="s">
        <v>2125</v>
      </c>
      <c r="D69" s="510"/>
      <c r="E69" s="510"/>
      <c r="F69" s="510"/>
      <c r="G69" s="510"/>
      <c r="H69" s="513"/>
      <c r="I69" s="513"/>
      <c r="J69" s="512"/>
      <c r="K69" s="512"/>
      <c r="L69" s="512"/>
      <c r="M69" s="512"/>
      <c r="N69" s="512"/>
      <c r="O69" s="512"/>
      <c r="P69" s="512"/>
      <c r="Q69" s="512"/>
      <c r="R69" s="512"/>
      <c r="S69" s="512"/>
      <c r="T69" s="512"/>
      <c r="U69" s="512"/>
      <c r="V69" s="512"/>
      <c r="W69" s="512"/>
      <c r="X69" s="512"/>
      <c r="Y69" s="614" t="s">
        <v>2662</v>
      </c>
      <c r="Z69" s="615"/>
      <c r="AA69" s="615"/>
      <c r="AB69" s="615"/>
      <c r="AC69" s="616">
        <v>-1</v>
      </c>
      <c r="AD69" s="578"/>
      <c r="AE69" s="578"/>
      <c r="AF69" s="578"/>
      <c r="AG69" s="578"/>
      <c r="AH69" s="578"/>
      <c r="AI69" s="578"/>
      <c r="AJ69" s="591"/>
    </row>
    <row r="70" spans="1:36" ht="13.5" thickBot="1">
      <c r="A70" s="510"/>
      <c r="B70" s="510"/>
      <c r="C70" s="510"/>
      <c r="D70" s="510"/>
      <c r="E70" s="510"/>
      <c r="F70" s="510"/>
      <c r="G70" s="510"/>
      <c r="H70" s="591"/>
      <c r="I70" s="591"/>
      <c r="J70" s="617"/>
      <c r="K70" s="618"/>
      <c r="L70" s="619" t="s">
        <v>2626</v>
      </c>
      <c r="M70" s="620" t="s">
        <v>2433</v>
      </c>
      <c r="N70" s="620" t="s">
        <v>2631</v>
      </c>
      <c r="O70" s="620" t="s">
        <v>2126</v>
      </c>
      <c r="P70" s="620" t="s">
        <v>2445</v>
      </c>
      <c r="Q70" s="620" t="s">
        <v>2444</v>
      </c>
      <c r="R70" s="620" t="s">
        <v>2432</v>
      </c>
      <c r="S70" s="620" t="s">
        <v>2434</v>
      </c>
      <c r="T70" s="620" t="s">
        <v>2435</v>
      </c>
      <c r="U70" s="620" t="s">
        <v>2648</v>
      </c>
      <c r="V70" s="620" t="s">
        <v>2124</v>
      </c>
      <c r="W70" s="620" t="s">
        <v>2127</v>
      </c>
      <c r="X70" s="621" t="s">
        <v>2662</v>
      </c>
      <c r="Y70" s="512"/>
      <c r="Z70" s="622"/>
      <c r="AA70" s="623"/>
      <c r="AB70" s="623"/>
      <c r="AC70" s="623"/>
      <c r="AD70" s="578"/>
      <c r="AE70" s="578"/>
      <c r="AF70" s="578"/>
      <c r="AG70" s="578"/>
      <c r="AH70" s="578"/>
      <c r="AI70" s="578"/>
      <c r="AJ70" s="591"/>
    </row>
    <row r="71" spans="1:36" ht="12.75">
      <c r="A71" s="510"/>
      <c r="B71" s="510"/>
      <c r="C71" s="510"/>
      <c r="D71" s="510"/>
      <c r="E71" s="510"/>
      <c r="F71" s="510"/>
      <c r="G71" s="510"/>
      <c r="H71" s="591"/>
      <c r="I71" s="591"/>
      <c r="J71" s="624">
        <v>1</v>
      </c>
      <c r="K71" s="625" t="s">
        <v>2689</v>
      </c>
      <c r="L71" s="626"/>
      <c r="M71" s="626">
        <f>1-ASM3_f_SI</f>
        <v>1</v>
      </c>
      <c r="N71" s="626">
        <f>-(1-ASM3_f_SI)*ASM3_i_N.SS-ASM3_i_N.SI*ASM3_f_SI+ASM3_i_N.XS</f>
        <v>0.010000000000000002</v>
      </c>
      <c r="O71" s="626"/>
      <c r="P71" s="626"/>
      <c r="Q71" s="627">
        <f>ASM3_v_1_NH4*ASM3_i_Charge_NHx</f>
        <v>0.0007142857142857144</v>
      </c>
      <c r="R71" s="626">
        <f>ASM3_f_SI</f>
        <v>0</v>
      </c>
      <c r="S71" s="626"/>
      <c r="T71" s="626">
        <v>-1</v>
      </c>
      <c r="U71" s="626"/>
      <c r="V71" s="626"/>
      <c r="W71" s="626"/>
      <c r="X71" s="628">
        <f>-ASM3_i_SS.XS</f>
        <v>-0.75</v>
      </c>
      <c r="Y71" s="623"/>
      <c r="Z71" s="629">
        <f aca="true" t="shared" si="0" ref="Z71:AC82">$L71*Z$57+$M71*Z$58+$N71*Z$59+$O71*Z$60+$P71*Z$61+$Q71*Z$62+$R71*Z$63+$S71*Z$64+$T71*Z$65+$U71*Z$66+$V71*Z$67+$W71*Z$68+$X71*Z$69</f>
        <v>0</v>
      </c>
      <c r="AA71" s="630">
        <f t="shared" si="0"/>
        <v>0</v>
      </c>
      <c r="AB71" s="630">
        <f t="shared" si="0"/>
        <v>0</v>
      </c>
      <c r="AC71" s="631">
        <f t="shared" si="0"/>
        <v>0</v>
      </c>
      <c r="AD71" s="578"/>
      <c r="AE71" s="578"/>
      <c r="AF71" s="578"/>
      <c r="AG71" s="578"/>
      <c r="AH71" s="578"/>
      <c r="AI71" s="578"/>
      <c r="AJ71" s="591"/>
    </row>
    <row r="72" spans="1:36" ht="16.5">
      <c r="A72" s="510"/>
      <c r="B72" s="510"/>
      <c r="C72" s="510"/>
      <c r="D72" s="510"/>
      <c r="E72" s="510"/>
      <c r="F72" s="510"/>
      <c r="G72" s="510"/>
      <c r="H72" s="591"/>
      <c r="I72" s="591"/>
      <c r="J72" s="632">
        <v>2</v>
      </c>
      <c r="K72" s="633" t="s">
        <v>1380</v>
      </c>
      <c r="L72" s="634">
        <f>-(1-ASM3_Y_STO.O2)</f>
        <v>-0.15000000000000002</v>
      </c>
      <c r="M72" s="635">
        <v>-1</v>
      </c>
      <c r="N72" s="634">
        <f>ASM3_i_N.SS</f>
        <v>0.03</v>
      </c>
      <c r="O72" s="634"/>
      <c r="P72" s="634"/>
      <c r="Q72" s="627">
        <f>ASM3_v_2_NH4*ASM3_i_Charge_NHx</f>
        <v>0.0021428571428571425</v>
      </c>
      <c r="R72" s="634"/>
      <c r="S72" s="634"/>
      <c r="T72" s="634"/>
      <c r="U72" s="634"/>
      <c r="V72" s="634">
        <f>ASM3_Y_STO.O2</f>
        <v>0.85</v>
      </c>
      <c r="W72" s="634"/>
      <c r="X72" s="628">
        <f>ASM3_Y_STO.O2*ASM3_i_SS.STO</f>
        <v>0.51</v>
      </c>
      <c r="Y72" s="636"/>
      <c r="Z72" s="637">
        <f t="shared" si="0"/>
        <v>0</v>
      </c>
      <c r="AA72" s="638">
        <f t="shared" si="0"/>
        <v>0</v>
      </c>
      <c r="AB72" s="638">
        <f t="shared" si="0"/>
        <v>0</v>
      </c>
      <c r="AC72" s="639">
        <f t="shared" si="0"/>
        <v>0</v>
      </c>
      <c r="AD72" s="516"/>
      <c r="AE72" s="578"/>
      <c r="AF72" s="578"/>
      <c r="AG72" s="578"/>
      <c r="AH72" s="578"/>
      <c r="AI72" s="578"/>
      <c r="AJ72" s="591"/>
    </row>
    <row r="73" spans="1:36" ht="16.5">
      <c r="A73" s="510"/>
      <c r="B73" s="510"/>
      <c r="C73" s="510"/>
      <c r="D73" s="510"/>
      <c r="E73" s="510"/>
      <c r="F73" s="510"/>
      <c r="G73" s="510"/>
      <c r="H73" s="591"/>
      <c r="I73" s="591"/>
      <c r="J73" s="632">
        <v>3</v>
      </c>
      <c r="K73" s="633" t="s">
        <v>1385</v>
      </c>
      <c r="L73" s="634"/>
      <c r="M73" s="635">
        <v>-1</v>
      </c>
      <c r="N73" s="634">
        <f>ASM3_i_N.SS</f>
        <v>0.03</v>
      </c>
      <c r="O73" s="634">
        <f>-(1-ASM3_Y_STO.NOX)/(ASM3_i_NOx.N2)</f>
        <v>-0.06999999999999998</v>
      </c>
      <c r="P73" s="634">
        <f>(1-ASM3_Y_STO.NOX)/(ASM3_i_NOx.N2)</f>
        <v>0.06999999999999998</v>
      </c>
      <c r="Q73" s="634">
        <f>ASM3_v_3_NH4*ASM3_i_Charge_NHx+ASM3_v_3_NOX*ASM3_i_Charge_NOx</f>
        <v>0.007142857142857141</v>
      </c>
      <c r="R73" s="634"/>
      <c r="S73" s="634"/>
      <c r="T73" s="634"/>
      <c r="U73" s="634"/>
      <c r="V73" s="634">
        <f>ASM3_Y_STO.NOX</f>
        <v>0.8</v>
      </c>
      <c r="W73" s="634"/>
      <c r="X73" s="628">
        <f>ASM3_Y_STO.NOX*ASM3_i_SS.STO</f>
        <v>0.48</v>
      </c>
      <c r="Y73" s="636"/>
      <c r="Z73" s="637">
        <f t="shared" si="0"/>
        <v>-1.1102230246251565E-16</v>
      </c>
      <c r="AA73" s="638">
        <f t="shared" si="0"/>
        <v>0</v>
      </c>
      <c r="AB73" s="638">
        <f t="shared" si="0"/>
        <v>0</v>
      </c>
      <c r="AC73" s="639">
        <f t="shared" si="0"/>
        <v>0</v>
      </c>
      <c r="AD73" s="517"/>
      <c r="AE73" s="578"/>
      <c r="AF73" s="578"/>
      <c r="AG73" s="578"/>
      <c r="AH73" s="578"/>
      <c r="AI73" s="578"/>
      <c r="AJ73" s="591"/>
    </row>
    <row r="74" spans="1:36" ht="16.5">
      <c r="A74" s="510"/>
      <c r="B74" s="510"/>
      <c r="C74" s="510"/>
      <c r="D74" s="510"/>
      <c r="E74" s="510"/>
      <c r="F74" s="510"/>
      <c r="G74" s="510"/>
      <c r="H74" s="591"/>
      <c r="I74" s="591"/>
      <c r="J74" s="632">
        <v>4</v>
      </c>
      <c r="K74" s="633" t="s">
        <v>1394</v>
      </c>
      <c r="L74" s="634">
        <f>-(1-ASM3_Y_H.O2)/ASM3_Y_H.O2</f>
        <v>-0.5873015873015873</v>
      </c>
      <c r="M74" s="634"/>
      <c r="N74" s="634">
        <f>-ASM3_i_N.BM</f>
        <v>-0.07</v>
      </c>
      <c r="O74" s="634"/>
      <c r="P74" s="634"/>
      <c r="Q74" s="634">
        <f>ASM3_v_4_NH4*ASM3_i_Charge_NHx</f>
        <v>-0.005</v>
      </c>
      <c r="R74" s="634"/>
      <c r="S74" s="634"/>
      <c r="T74" s="634"/>
      <c r="U74" s="635">
        <v>1</v>
      </c>
      <c r="V74" s="634">
        <f>-1/ASM3_Y_H.O2</f>
        <v>-1.5873015873015872</v>
      </c>
      <c r="W74" s="634"/>
      <c r="X74" s="628">
        <f>(-1/ASM3_Y_H.O2)*ASM3_i_SS.STO+ASM3_i_SS.BM</f>
        <v>-0.052380952380952306</v>
      </c>
      <c r="Y74" s="636"/>
      <c r="Z74" s="637">
        <f t="shared" si="0"/>
        <v>2.220446049250313E-16</v>
      </c>
      <c r="AA74" s="638">
        <f t="shared" si="0"/>
        <v>0</v>
      </c>
      <c r="AB74" s="638">
        <f t="shared" si="0"/>
        <v>0</v>
      </c>
      <c r="AC74" s="639">
        <f t="shared" si="0"/>
        <v>0</v>
      </c>
      <c r="AD74" s="517"/>
      <c r="AE74" s="516"/>
      <c r="AF74" s="578"/>
      <c r="AG74" s="578"/>
      <c r="AH74" s="578"/>
      <c r="AI74" s="578"/>
      <c r="AJ74" s="591"/>
    </row>
    <row r="75" spans="1:36" ht="16.5">
      <c r="A75" s="510"/>
      <c r="B75" s="510"/>
      <c r="C75" s="510"/>
      <c r="D75" s="510"/>
      <c r="E75" s="510"/>
      <c r="F75" s="510"/>
      <c r="G75" s="510"/>
      <c r="H75" s="591"/>
      <c r="I75" s="591"/>
      <c r="J75" s="632">
        <v>5</v>
      </c>
      <c r="K75" s="633" t="s">
        <v>1522</v>
      </c>
      <c r="L75" s="634"/>
      <c r="M75" s="634"/>
      <c r="N75" s="634">
        <f>-ASM3_i_N.BM</f>
        <v>-0.07</v>
      </c>
      <c r="O75" s="634">
        <f>-(1-ASM3_Y_H.NOX)/ASM3_Y_H.NOX*(1/ASM3_i_NOx.N2)</f>
        <v>-0.2981481481481481</v>
      </c>
      <c r="P75" s="634">
        <f>(1-ASM3_Y_H.NOX)/ASM3_Y_H.NOX*(1/ASM3_i_NOx.N2)</f>
        <v>0.2981481481481481</v>
      </c>
      <c r="Q75" s="634">
        <f>ASM3_v_5_NH4*ASM3_i_Charge_NHx+ASM3_v_5_NOX*ASM3_i_Charge_NOx</f>
        <v>0.01629629629629629</v>
      </c>
      <c r="R75" s="634"/>
      <c r="S75" s="634"/>
      <c r="T75" s="634"/>
      <c r="U75" s="635">
        <v>1</v>
      </c>
      <c r="V75" s="634">
        <f>-1/ASM3_Y_H.NOX</f>
        <v>-1.8518518518518516</v>
      </c>
      <c r="W75" s="634"/>
      <c r="X75" s="628">
        <f>(-1/ASM3_Y_H.NOX)*ASM3_i_SS.STO+ASM3_i_SS.BM</f>
        <v>-0.21111111111111092</v>
      </c>
      <c r="Y75" s="636"/>
      <c r="Z75" s="637">
        <f t="shared" si="0"/>
        <v>0</v>
      </c>
      <c r="AA75" s="638">
        <f t="shared" si="0"/>
        <v>0</v>
      </c>
      <c r="AB75" s="638">
        <f t="shared" si="0"/>
        <v>0</v>
      </c>
      <c r="AC75" s="639">
        <f t="shared" si="0"/>
        <v>0</v>
      </c>
      <c r="AD75" s="517"/>
      <c r="AE75" s="517"/>
      <c r="AF75" s="516"/>
      <c r="AG75" s="578"/>
      <c r="AH75" s="578"/>
      <c r="AI75" s="578"/>
      <c r="AJ75" s="591"/>
    </row>
    <row r="76" spans="1:36" ht="31.5">
      <c r="A76" s="510"/>
      <c r="B76" s="510"/>
      <c r="C76" s="510"/>
      <c r="D76" s="510"/>
      <c r="E76" s="510"/>
      <c r="F76" s="510"/>
      <c r="G76" s="510"/>
      <c r="H76" s="591"/>
      <c r="I76" s="591"/>
      <c r="J76" s="632">
        <v>6</v>
      </c>
      <c r="K76" s="633" t="s">
        <v>1408</v>
      </c>
      <c r="L76" s="634">
        <f>-(1-ASM3_f_XI)</f>
        <v>-0.8</v>
      </c>
      <c r="M76" s="634"/>
      <c r="N76" s="634">
        <f>-ASM3_f_XI*ASM3_i_N.XI+ASM3_i_N.BM</f>
        <v>0.066</v>
      </c>
      <c r="O76" s="634"/>
      <c r="P76" s="634"/>
      <c r="Q76" s="634">
        <f>ASM3_v_6_NH4*ASM3_i_Charge_NHx</f>
        <v>0.004714285714285714</v>
      </c>
      <c r="R76" s="634"/>
      <c r="S76" s="634">
        <f>ASM3_f_XI</f>
        <v>0.2</v>
      </c>
      <c r="T76" s="634"/>
      <c r="U76" s="635">
        <v>-1</v>
      </c>
      <c r="V76" s="634"/>
      <c r="W76" s="634"/>
      <c r="X76" s="628">
        <f>-ASM3_i_SS.BM+ASM3_f_XI*ASM3_i_SS.XI</f>
        <v>-0.75</v>
      </c>
      <c r="Y76" s="636"/>
      <c r="Z76" s="637">
        <f t="shared" si="0"/>
        <v>0</v>
      </c>
      <c r="AA76" s="638">
        <f t="shared" si="0"/>
        <v>0</v>
      </c>
      <c r="AB76" s="638">
        <f t="shared" si="0"/>
        <v>0</v>
      </c>
      <c r="AC76" s="639">
        <f t="shared" si="0"/>
        <v>0</v>
      </c>
      <c r="AD76" s="517"/>
      <c r="AE76" s="517"/>
      <c r="AF76" s="517"/>
      <c r="AG76" s="516"/>
      <c r="AH76" s="516"/>
      <c r="AI76" s="516"/>
      <c r="AJ76" s="600"/>
    </row>
    <row r="77" spans="1:36" ht="31.5">
      <c r="A77" s="510"/>
      <c r="B77" s="510"/>
      <c r="C77" s="510"/>
      <c r="D77" s="510"/>
      <c r="E77" s="510"/>
      <c r="F77" s="510"/>
      <c r="G77" s="510"/>
      <c r="H77" s="591"/>
      <c r="I77" s="591"/>
      <c r="J77" s="632">
        <v>7</v>
      </c>
      <c r="K77" s="633" t="s">
        <v>1414</v>
      </c>
      <c r="L77" s="634"/>
      <c r="M77" s="634"/>
      <c r="N77" s="634">
        <f>-ASM3_f_XI*ASM3_i_N.XI+ASM3_i_N.BM</f>
        <v>0.066</v>
      </c>
      <c r="O77" s="634">
        <f>-(1-ASM3_f_XI)/(ASM3_i_NOx.N2)</f>
        <v>-0.28</v>
      </c>
      <c r="P77" s="634">
        <f>(1-ASM3_f_XI)/(ASM3_i_NOx.N2)</f>
        <v>0.28</v>
      </c>
      <c r="Q77" s="634">
        <f>ASM3_v_7_NOX*ASM3_i_Charge_NOx+ASM3_v_7_NH4*ASM3_i_Charge_NHx</f>
        <v>0.024714285714285716</v>
      </c>
      <c r="R77" s="634"/>
      <c r="S77" s="634">
        <f>ASM3_f_XI</f>
        <v>0.2</v>
      </c>
      <c r="T77" s="634"/>
      <c r="U77" s="635">
        <v>-1</v>
      </c>
      <c r="V77" s="634"/>
      <c r="W77" s="634"/>
      <c r="X77" s="628">
        <f>-ASM3_i_SS.BM+ASM3_f_XI*ASM3_i_SS.XI</f>
        <v>-0.75</v>
      </c>
      <c r="Y77" s="636"/>
      <c r="Z77" s="637">
        <f t="shared" si="0"/>
        <v>0</v>
      </c>
      <c r="AA77" s="638">
        <f t="shared" si="0"/>
        <v>0</v>
      </c>
      <c r="AB77" s="638">
        <f t="shared" si="0"/>
        <v>0</v>
      </c>
      <c r="AC77" s="639">
        <f t="shared" si="0"/>
        <v>0</v>
      </c>
      <c r="AD77" s="517"/>
      <c r="AE77" s="517"/>
      <c r="AF77" s="517"/>
      <c r="AG77" s="517"/>
      <c r="AH77" s="517"/>
      <c r="AI77" s="517"/>
      <c r="AJ77" s="513"/>
    </row>
    <row r="78" spans="1:36" ht="16.5">
      <c r="A78" s="510"/>
      <c r="B78" s="510"/>
      <c r="C78" s="510"/>
      <c r="D78" s="510"/>
      <c r="E78" s="510"/>
      <c r="F78" s="510"/>
      <c r="G78" s="510"/>
      <c r="H78" s="591"/>
      <c r="I78" s="591"/>
      <c r="J78" s="632" t="s">
        <v>2486</v>
      </c>
      <c r="K78" s="633" t="s">
        <v>1523</v>
      </c>
      <c r="L78" s="634" t="s">
        <v>2488</v>
      </c>
      <c r="M78" s="634"/>
      <c r="N78" s="634"/>
      <c r="O78" s="634"/>
      <c r="P78" s="634"/>
      <c r="Q78" s="634"/>
      <c r="R78" s="634"/>
      <c r="S78" s="634"/>
      <c r="T78" s="634"/>
      <c r="U78" s="634"/>
      <c r="V78" s="634" t="s">
        <v>2488</v>
      </c>
      <c r="W78" s="634"/>
      <c r="X78" s="628">
        <f>-ASM3_i_SS.STO</f>
        <v>-0.6</v>
      </c>
      <c r="Y78" s="636"/>
      <c r="Z78" s="637">
        <f t="shared" si="0"/>
        <v>0</v>
      </c>
      <c r="AA78" s="638">
        <f t="shared" si="0"/>
        <v>0</v>
      </c>
      <c r="AB78" s="638">
        <f t="shared" si="0"/>
        <v>0</v>
      </c>
      <c r="AC78" s="639">
        <f t="shared" si="0"/>
        <v>0</v>
      </c>
      <c r="AD78" s="517"/>
      <c r="AE78" s="517"/>
      <c r="AF78" s="517"/>
      <c r="AG78" s="517"/>
      <c r="AH78" s="517"/>
      <c r="AI78" s="517"/>
      <c r="AJ78" s="513"/>
    </row>
    <row r="79" spans="1:36" ht="16.5">
      <c r="A79" s="510"/>
      <c r="B79" s="510"/>
      <c r="C79" s="510"/>
      <c r="D79" s="510"/>
      <c r="E79" s="510"/>
      <c r="F79" s="510"/>
      <c r="G79" s="510"/>
      <c r="H79" s="591"/>
      <c r="I79" s="591"/>
      <c r="J79" s="632" t="s">
        <v>2493</v>
      </c>
      <c r="K79" s="633" t="s">
        <v>1524</v>
      </c>
      <c r="L79" s="634"/>
      <c r="M79" s="634"/>
      <c r="N79" s="634"/>
      <c r="O79" s="634">
        <f>-1/(ASM3_i_NOx.N2)</f>
        <v>-0.35</v>
      </c>
      <c r="P79" s="634">
        <f>1/(ASM3_i_NOx.N2)</f>
        <v>0.35</v>
      </c>
      <c r="Q79" s="634">
        <f>ASM3_v_9_NOX*ASM3_i_Charge_NOx</f>
        <v>0.024999999999999998</v>
      </c>
      <c r="R79" s="634"/>
      <c r="S79" s="634"/>
      <c r="T79" s="634"/>
      <c r="U79" s="634"/>
      <c r="V79" s="634" t="s">
        <v>2488</v>
      </c>
      <c r="W79" s="634"/>
      <c r="X79" s="628">
        <f>-ASM3_i_SS.STO</f>
        <v>-0.6</v>
      </c>
      <c r="Y79" s="636"/>
      <c r="Z79" s="637">
        <f t="shared" si="0"/>
        <v>-1.1102230246251565E-16</v>
      </c>
      <c r="AA79" s="638">
        <f t="shared" si="0"/>
        <v>0</v>
      </c>
      <c r="AB79" s="638">
        <f t="shared" si="0"/>
        <v>0</v>
      </c>
      <c r="AC79" s="639">
        <f t="shared" si="0"/>
        <v>0</v>
      </c>
      <c r="AD79" s="517"/>
      <c r="AE79" s="517"/>
      <c r="AF79" s="517"/>
      <c r="AG79" s="517"/>
      <c r="AH79" s="517"/>
      <c r="AI79" s="517"/>
      <c r="AJ79" s="513"/>
    </row>
    <row r="80" spans="1:36" ht="16.5">
      <c r="A80" s="510"/>
      <c r="B80" s="510"/>
      <c r="C80" s="510"/>
      <c r="D80" s="510"/>
      <c r="E80" s="510"/>
      <c r="F80" s="510"/>
      <c r="G80" s="510"/>
      <c r="H80" s="591"/>
      <c r="I80" s="591"/>
      <c r="J80" s="632" t="s">
        <v>2499</v>
      </c>
      <c r="K80" s="633" t="s">
        <v>1525</v>
      </c>
      <c r="L80" s="634">
        <f>-(-ASM3_i_COD_NOx-ASM3_Y_A)/ASM3_Y_A</f>
        <v>-18.047619047619047</v>
      </c>
      <c r="M80" s="634"/>
      <c r="N80" s="634">
        <f>-1/ASM3_Y_A-ASM3_i_N.BM</f>
        <v>-4.236666666666667</v>
      </c>
      <c r="O80" s="634">
        <f>1/ASM3_Y_A</f>
        <v>4.166666666666667</v>
      </c>
      <c r="P80" s="634"/>
      <c r="Q80" s="634">
        <f>ASM3_v_10_NH4*ASM3_i_Charge_NHx+ASM3_v_10_NOX*ASM3_i_Charge_NOx</f>
        <v>-0.6002380952380952</v>
      </c>
      <c r="R80" s="634"/>
      <c r="S80" s="634"/>
      <c r="T80" s="634"/>
      <c r="U80" s="634"/>
      <c r="V80" s="634"/>
      <c r="W80" s="635">
        <v>1</v>
      </c>
      <c r="X80" s="628">
        <f>ASM3_i_SS.BM</f>
        <v>0.9</v>
      </c>
      <c r="Y80" s="636"/>
      <c r="Z80" s="637">
        <f t="shared" si="0"/>
        <v>0</v>
      </c>
      <c r="AA80" s="638">
        <f t="shared" si="0"/>
        <v>-2.7755575615628914E-16</v>
      </c>
      <c r="AB80" s="638">
        <f t="shared" si="0"/>
        <v>0</v>
      </c>
      <c r="AC80" s="639">
        <f t="shared" si="0"/>
        <v>0</v>
      </c>
      <c r="AD80" s="607"/>
      <c r="AE80" s="517"/>
      <c r="AF80" s="517"/>
      <c r="AG80" s="517"/>
      <c r="AH80" s="517"/>
      <c r="AI80" s="517"/>
      <c r="AJ80" s="513"/>
    </row>
    <row r="81" spans="1:36" ht="31.5">
      <c r="A81" s="510"/>
      <c r="B81" s="510"/>
      <c r="C81" s="510"/>
      <c r="D81" s="510"/>
      <c r="E81" s="510"/>
      <c r="F81" s="510"/>
      <c r="G81" s="510"/>
      <c r="H81" s="591"/>
      <c r="I81" s="591"/>
      <c r="J81" s="632" t="s">
        <v>2502</v>
      </c>
      <c r="K81" s="633" t="s">
        <v>1431</v>
      </c>
      <c r="L81" s="634">
        <f>-(1-ASM3_f_XI)</f>
        <v>-0.8</v>
      </c>
      <c r="M81" s="634"/>
      <c r="N81" s="634">
        <f>-ASM3_f_XI*ASM3_i_N.XI+ASM3_i_N.BM</f>
        <v>0.066</v>
      </c>
      <c r="O81" s="634"/>
      <c r="P81" s="634"/>
      <c r="Q81" s="634">
        <f>ASM3_v_11_NH4*ASM3_i_Charge_NHx</f>
        <v>0.004714285714285714</v>
      </c>
      <c r="R81" s="634"/>
      <c r="S81" s="634">
        <f>ASM3_f_XI</f>
        <v>0.2</v>
      </c>
      <c r="T81" s="634"/>
      <c r="U81" s="634"/>
      <c r="V81" s="634"/>
      <c r="W81" s="635">
        <v>-1</v>
      </c>
      <c r="X81" s="628">
        <f>-ASM3_i_SS.BM+ASM3_f_XI*ASM3_i_SS.XI</f>
        <v>-0.75</v>
      </c>
      <c r="Y81" s="636"/>
      <c r="Z81" s="637">
        <f t="shared" si="0"/>
        <v>0</v>
      </c>
      <c r="AA81" s="638">
        <f t="shared" si="0"/>
        <v>0</v>
      </c>
      <c r="AB81" s="638">
        <f t="shared" si="0"/>
        <v>0</v>
      </c>
      <c r="AC81" s="639">
        <f t="shared" si="0"/>
        <v>0</v>
      </c>
      <c r="AD81" s="517"/>
      <c r="AE81" s="517"/>
      <c r="AF81" s="517"/>
      <c r="AG81" s="517"/>
      <c r="AH81" s="517"/>
      <c r="AI81" s="517"/>
      <c r="AJ81" s="513"/>
    </row>
    <row r="82" spans="1:36" ht="32.25" thickBot="1">
      <c r="A82" s="510"/>
      <c r="B82" s="510"/>
      <c r="C82" s="510"/>
      <c r="D82" s="510"/>
      <c r="E82" s="510"/>
      <c r="F82" s="510"/>
      <c r="G82" s="510"/>
      <c r="H82" s="600"/>
      <c r="I82" s="600"/>
      <c r="J82" s="640" t="s">
        <v>2082</v>
      </c>
      <c r="K82" s="633" t="s">
        <v>1434</v>
      </c>
      <c r="L82" s="641"/>
      <c r="M82" s="641"/>
      <c r="N82" s="641">
        <f>-ASM3_f_XI*ASM3_i_N.XI+ASM3_i_N.BM</f>
        <v>0.066</v>
      </c>
      <c r="O82" s="641">
        <f>-(1-ASM3_f_XI)/(ASM3_i_NOx.N2)</f>
        <v>-0.28</v>
      </c>
      <c r="P82" s="641">
        <f>(1-ASM3_f_XI)/(ASM3_i_NOx.N2)</f>
        <v>0.28</v>
      </c>
      <c r="Q82" s="641">
        <f>ASM3_v_12_NH4*ASM3_i_Charge_NHx+ASM3_v_12_NOX*ASM3_i_Charge_NOx</f>
        <v>0.024714285714285716</v>
      </c>
      <c r="R82" s="641"/>
      <c r="S82" s="641">
        <f>ASM3_f_XI</f>
        <v>0.2</v>
      </c>
      <c r="T82" s="641"/>
      <c r="U82" s="641"/>
      <c r="V82" s="641"/>
      <c r="W82" s="642">
        <v>-1</v>
      </c>
      <c r="X82" s="643">
        <f>-ASM3_i_SS.BM+ASM3_f_XI*ASM3_i_SS.XI</f>
        <v>-0.75</v>
      </c>
      <c r="Y82" s="636"/>
      <c r="Z82" s="644">
        <f t="shared" si="0"/>
        <v>0</v>
      </c>
      <c r="AA82" s="645">
        <f t="shared" si="0"/>
        <v>0</v>
      </c>
      <c r="AB82" s="645">
        <f t="shared" si="0"/>
        <v>0</v>
      </c>
      <c r="AC82" s="646">
        <f t="shared" si="0"/>
        <v>0</v>
      </c>
      <c r="AD82" s="517"/>
      <c r="AE82" s="607"/>
      <c r="AF82" s="517"/>
      <c r="AG82" s="517"/>
      <c r="AH82" s="517"/>
      <c r="AI82" s="517"/>
      <c r="AJ82" s="513"/>
    </row>
    <row r="83" spans="1:36" ht="12.75">
      <c r="A83" s="510"/>
      <c r="B83" s="510"/>
      <c r="C83" s="510"/>
      <c r="D83" s="510"/>
      <c r="E83" s="510"/>
      <c r="F83" s="510"/>
      <c r="G83" s="510"/>
      <c r="H83" s="513"/>
      <c r="I83" s="513"/>
      <c r="J83" s="647"/>
      <c r="K83" s="647"/>
      <c r="L83" s="516"/>
      <c r="M83" s="516"/>
      <c r="N83" s="516"/>
      <c r="O83" s="516"/>
      <c r="P83" s="516"/>
      <c r="Q83" s="516"/>
      <c r="R83" s="516"/>
      <c r="S83" s="516"/>
      <c r="T83" s="516"/>
      <c r="U83" s="516"/>
      <c r="V83" s="516"/>
      <c r="W83" s="516"/>
      <c r="X83" s="516"/>
      <c r="Y83" s="516"/>
      <c r="Z83" s="516"/>
      <c r="AA83" s="516"/>
      <c r="AB83" s="516"/>
      <c r="AC83" s="516"/>
      <c r="AD83" s="517"/>
      <c r="AE83" s="517"/>
      <c r="AF83" s="517"/>
      <c r="AG83" s="517"/>
      <c r="AH83" s="517"/>
      <c r="AI83" s="517"/>
      <c r="AJ83" s="513"/>
    </row>
    <row r="84" spans="1:36" ht="13.5" thickBot="1">
      <c r="A84" s="510"/>
      <c r="B84" s="510"/>
      <c r="C84" s="510"/>
      <c r="D84" s="510"/>
      <c r="E84" s="510"/>
      <c r="F84" s="510"/>
      <c r="G84" s="510"/>
      <c r="H84" s="513"/>
      <c r="I84" s="513"/>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607"/>
      <c r="AH84" s="607"/>
      <c r="AI84" s="607"/>
      <c r="AJ84" s="584"/>
    </row>
    <row r="85" spans="1:36" ht="30.75" thickBot="1">
      <c r="A85" s="510"/>
      <c r="B85" s="510"/>
      <c r="C85" s="510"/>
      <c r="D85" s="510"/>
      <c r="E85" s="510"/>
      <c r="F85" s="510"/>
      <c r="G85" s="510"/>
      <c r="H85" s="513"/>
      <c r="I85" s="513"/>
      <c r="J85" s="1331" t="s">
        <v>2421</v>
      </c>
      <c r="K85" s="1332"/>
      <c r="L85" s="1332"/>
      <c r="M85" s="1332"/>
      <c r="N85" s="1332"/>
      <c r="O85" s="1332"/>
      <c r="P85" s="1332"/>
      <c r="Q85" s="1332"/>
      <c r="R85" s="1332"/>
      <c r="S85" s="1332"/>
      <c r="T85" s="1332"/>
      <c r="U85" s="1332"/>
      <c r="V85" s="1332"/>
      <c r="W85" s="1332"/>
      <c r="X85" s="1332"/>
      <c r="Y85" s="1332"/>
      <c r="Z85" s="1332"/>
      <c r="AA85" s="1332"/>
      <c r="AB85" s="1332"/>
      <c r="AC85" s="1333"/>
      <c r="AD85" s="578"/>
      <c r="AE85" s="517"/>
      <c r="AF85" s="517"/>
      <c r="AG85" s="517"/>
      <c r="AH85" s="517"/>
      <c r="AI85" s="517"/>
      <c r="AJ85" s="513"/>
    </row>
    <row r="86" spans="1:36" ht="14.25">
      <c r="A86" s="510"/>
      <c r="B86" s="510"/>
      <c r="C86" s="510"/>
      <c r="D86" s="510"/>
      <c r="E86" s="510"/>
      <c r="F86" s="510"/>
      <c r="G86" s="510"/>
      <c r="H86" s="513"/>
      <c r="I86" s="513"/>
      <c r="J86" s="8"/>
      <c r="K86" s="8"/>
      <c r="L86" s="8"/>
      <c r="M86" s="8"/>
      <c r="N86" s="8"/>
      <c r="O86" s="8"/>
      <c r="P86" s="8"/>
      <c r="Q86" s="8"/>
      <c r="R86" s="8"/>
      <c r="S86" s="8"/>
      <c r="T86" s="8"/>
      <c r="U86" s="8"/>
      <c r="V86" s="8"/>
      <c r="W86" s="8"/>
      <c r="X86" s="8"/>
      <c r="Y86" s="9"/>
      <c r="Z86" s="9"/>
      <c r="AA86" s="9"/>
      <c r="AB86" s="9"/>
      <c r="AC86" s="9"/>
      <c r="AD86" s="578"/>
      <c r="AE86" s="517"/>
      <c r="AF86" s="517"/>
      <c r="AG86" s="517"/>
      <c r="AH86" s="517"/>
      <c r="AI86" s="517"/>
      <c r="AJ86" s="513"/>
    </row>
    <row r="87" spans="1:36" ht="18.75" thickBot="1">
      <c r="A87" s="510"/>
      <c r="B87" s="510"/>
      <c r="C87" s="510"/>
      <c r="D87" s="510"/>
      <c r="E87" s="510"/>
      <c r="F87" s="510"/>
      <c r="G87" s="510"/>
      <c r="H87" s="513"/>
      <c r="I87" s="513"/>
      <c r="J87" s="8"/>
      <c r="K87" s="8"/>
      <c r="L87" s="8"/>
      <c r="M87" s="1334" t="s">
        <v>2422</v>
      </c>
      <c r="N87" s="1334"/>
      <c r="O87" s="1334"/>
      <c r="P87" s="1334"/>
      <c r="Q87" s="1334"/>
      <c r="R87" s="1334"/>
      <c r="S87" s="1334" t="s">
        <v>2423</v>
      </c>
      <c r="T87" s="1334"/>
      <c r="U87" s="1334"/>
      <c r="V87" s="1334"/>
      <c r="W87" s="1334"/>
      <c r="X87" s="8"/>
      <c r="Y87" s="9"/>
      <c r="Z87" s="9"/>
      <c r="AA87" s="9"/>
      <c r="AB87" s="9"/>
      <c r="AC87" s="9"/>
      <c r="AD87" s="578"/>
      <c r="AE87" s="578"/>
      <c r="AF87" s="517"/>
      <c r="AG87" s="517"/>
      <c r="AH87" s="517"/>
      <c r="AI87" s="517"/>
      <c r="AJ87" s="513"/>
    </row>
    <row r="88" spans="1:36" ht="15" thickBot="1">
      <c r="A88" s="510"/>
      <c r="B88" s="510"/>
      <c r="C88" s="510"/>
      <c r="D88" s="510"/>
      <c r="E88" s="510"/>
      <c r="F88" s="510"/>
      <c r="G88" s="510"/>
      <c r="H88" s="513"/>
      <c r="I88" s="513"/>
      <c r="J88" s="8"/>
      <c r="K88" s="8"/>
      <c r="L88" s="221"/>
      <c r="M88" s="1328" t="s">
        <v>2424</v>
      </c>
      <c r="N88" s="1329"/>
      <c r="O88" s="1329"/>
      <c r="P88" s="1329"/>
      <c r="Q88" s="1329"/>
      <c r="R88" s="1329"/>
      <c r="S88" s="1329" t="s">
        <v>2425</v>
      </c>
      <c r="T88" s="1329"/>
      <c r="U88" s="1329"/>
      <c r="V88" s="1329"/>
      <c r="W88" s="1329"/>
      <c r="X88" s="8"/>
      <c r="Y88" s="9"/>
      <c r="Z88" s="9"/>
      <c r="AA88" s="9"/>
      <c r="AB88" s="9"/>
      <c r="AC88" s="9"/>
      <c r="AD88" s="578"/>
      <c r="AE88" s="578"/>
      <c r="AF88" s="578"/>
      <c r="AG88" s="517"/>
      <c r="AH88" s="517"/>
      <c r="AI88" s="517"/>
      <c r="AJ88" s="513"/>
    </row>
    <row r="89" spans="1:36" ht="15" thickBot="1">
      <c r="A89" s="510"/>
      <c r="B89" s="510"/>
      <c r="C89" s="510"/>
      <c r="D89" s="510"/>
      <c r="E89" s="510"/>
      <c r="F89" s="510"/>
      <c r="G89" s="510"/>
      <c r="H89" s="513"/>
      <c r="I89" s="513"/>
      <c r="J89" s="8"/>
      <c r="K89" s="8"/>
      <c r="L89" s="222"/>
      <c r="M89" s="1328" t="s">
        <v>2426</v>
      </c>
      <c r="N89" s="1329"/>
      <c r="O89" s="1329"/>
      <c r="P89" s="1329"/>
      <c r="Q89" s="1329"/>
      <c r="R89" s="1329"/>
      <c r="S89" s="1329" t="s">
        <v>2427</v>
      </c>
      <c r="T89" s="1329"/>
      <c r="U89" s="1329"/>
      <c r="V89" s="1329"/>
      <c r="W89" s="1329"/>
      <c r="X89" s="8"/>
      <c r="Y89" s="9"/>
      <c r="Z89" s="9"/>
      <c r="AA89" s="9"/>
      <c r="AB89" s="9"/>
      <c r="AC89" s="9"/>
      <c r="AD89" s="578"/>
      <c r="AE89" s="578"/>
      <c r="AF89" s="578"/>
      <c r="AG89" s="578"/>
      <c r="AH89" s="578"/>
      <c r="AI89" s="578"/>
      <c r="AJ89" s="591"/>
    </row>
    <row r="90" spans="1:36" ht="15" thickBot="1">
      <c r="A90" s="510"/>
      <c r="B90" s="510"/>
      <c r="C90" s="510"/>
      <c r="D90" s="510"/>
      <c r="E90" s="510"/>
      <c r="F90" s="510"/>
      <c r="G90" s="510"/>
      <c r="H90" s="513"/>
      <c r="I90" s="513"/>
      <c r="J90" s="8"/>
      <c r="K90" s="8"/>
      <c r="L90" s="223"/>
      <c r="M90" s="1328" t="s">
        <v>2428</v>
      </c>
      <c r="N90" s="1329"/>
      <c r="O90" s="1329"/>
      <c r="P90" s="1329"/>
      <c r="Q90" s="1329"/>
      <c r="R90" s="1329"/>
      <c r="S90" s="1329" t="s">
        <v>2425</v>
      </c>
      <c r="T90" s="1329"/>
      <c r="U90" s="1329"/>
      <c r="V90" s="1329"/>
      <c r="W90" s="1329"/>
      <c r="X90" s="8"/>
      <c r="Y90" s="9"/>
      <c r="Z90" s="9"/>
      <c r="AA90" s="9"/>
      <c r="AB90" s="9"/>
      <c r="AC90" s="9"/>
      <c r="AD90" s="578"/>
      <c r="AE90" s="578"/>
      <c r="AF90" s="578"/>
      <c r="AG90" s="578"/>
      <c r="AH90" s="578"/>
      <c r="AI90" s="578"/>
      <c r="AJ90" s="591"/>
    </row>
    <row r="91" spans="1:36" ht="15" thickBot="1">
      <c r="A91" s="510"/>
      <c r="B91" s="510"/>
      <c r="C91" s="510"/>
      <c r="D91" s="510"/>
      <c r="E91" s="510"/>
      <c r="F91" s="510"/>
      <c r="G91" s="510"/>
      <c r="H91" s="513"/>
      <c r="I91" s="513"/>
      <c r="J91" s="8"/>
      <c r="K91" s="8"/>
      <c r="L91" s="224"/>
      <c r="M91" s="1328" t="s">
        <v>2429</v>
      </c>
      <c r="N91" s="1329"/>
      <c r="O91" s="1329"/>
      <c r="P91" s="1329"/>
      <c r="Q91" s="1329"/>
      <c r="R91" s="1329"/>
      <c r="S91" s="1329" t="s">
        <v>2430</v>
      </c>
      <c r="T91" s="1329"/>
      <c r="U91" s="1329"/>
      <c r="V91" s="1329"/>
      <c r="W91" s="1329"/>
      <c r="X91" s="8"/>
      <c r="Y91" s="9"/>
      <c r="Z91" s="9"/>
      <c r="AA91" s="9"/>
      <c r="AB91" s="9"/>
      <c r="AC91" s="9"/>
      <c r="AD91" s="578"/>
      <c r="AE91" s="578"/>
      <c r="AF91" s="578"/>
      <c r="AG91" s="578"/>
      <c r="AH91" s="578"/>
      <c r="AI91" s="578"/>
      <c r="AJ91" s="591"/>
    </row>
    <row r="92" spans="1:36" ht="15" thickBot="1">
      <c r="A92" s="510"/>
      <c r="B92" s="510"/>
      <c r="C92" s="510"/>
      <c r="D92" s="510"/>
      <c r="E92" s="510"/>
      <c r="F92" s="510"/>
      <c r="G92" s="510"/>
      <c r="H92" s="513"/>
      <c r="I92" s="513"/>
      <c r="J92" s="8"/>
      <c r="K92" s="8"/>
      <c r="L92" s="8"/>
      <c r="M92" s="8"/>
      <c r="N92" s="8"/>
      <c r="O92" s="8"/>
      <c r="P92" s="8"/>
      <c r="Q92" s="8"/>
      <c r="R92" s="8"/>
      <c r="S92" s="8"/>
      <c r="T92" s="8"/>
      <c r="U92" s="8"/>
      <c r="V92" s="8"/>
      <c r="W92" s="8"/>
      <c r="X92" s="8"/>
      <c r="Y92" s="9"/>
      <c r="Z92" s="9"/>
      <c r="AA92" s="9"/>
      <c r="AB92" s="9"/>
      <c r="AC92" s="9"/>
      <c r="AD92" s="578"/>
      <c r="AE92" s="578"/>
      <c r="AF92" s="578"/>
      <c r="AG92" s="578"/>
      <c r="AH92" s="578"/>
      <c r="AI92" s="578"/>
      <c r="AJ92" s="591"/>
    </row>
    <row r="93" spans="1:36" ht="12.75">
      <c r="A93" s="510"/>
      <c r="B93" s="510"/>
      <c r="C93" s="510"/>
      <c r="D93" s="510"/>
      <c r="E93" s="510"/>
      <c r="F93" s="510"/>
      <c r="G93" s="510"/>
      <c r="H93" s="513"/>
      <c r="I93" s="513"/>
      <c r="J93" s="648"/>
      <c r="K93" s="649"/>
      <c r="L93" s="649" t="s">
        <v>2626</v>
      </c>
      <c r="M93" s="649" t="s">
        <v>2433</v>
      </c>
      <c r="N93" s="649" t="s">
        <v>2631</v>
      </c>
      <c r="O93" s="649" t="s">
        <v>2126</v>
      </c>
      <c r="P93" s="649" t="s">
        <v>2445</v>
      </c>
      <c r="Q93" s="649" t="s">
        <v>2444</v>
      </c>
      <c r="R93" s="649" t="s">
        <v>2432</v>
      </c>
      <c r="S93" s="649" t="s">
        <v>2434</v>
      </c>
      <c r="T93" s="649" t="s">
        <v>2435</v>
      </c>
      <c r="U93" s="649" t="s">
        <v>2648</v>
      </c>
      <c r="V93" s="649" t="s">
        <v>2124</v>
      </c>
      <c r="W93" s="649" t="s">
        <v>2127</v>
      </c>
      <c r="X93" s="650" t="s">
        <v>2662</v>
      </c>
      <c r="Y93" s="517"/>
      <c r="Z93" s="517"/>
      <c r="AA93" s="517"/>
      <c r="AB93" s="517"/>
      <c r="AC93" s="517"/>
      <c r="AD93" s="578"/>
      <c r="AE93" s="578"/>
      <c r="AF93" s="517"/>
      <c r="AG93" s="578"/>
      <c r="AH93" s="578"/>
      <c r="AI93" s="578"/>
      <c r="AJ93" s="591"/>
    </row>
    <row r="94" spans="1:36" ht="12.75">
      <c r="A94" s="510"/>
      <c r="B94" s="510"/>
      <c r="C94" s="510"/>
      <c r="D94" s="510"/>
      <c r="E94" s="510"/>
      <c r="F94" s="510"/>
      <c r="G94" s="510"/>
      <c r="H94" s="513"/>
      <c r="I94" s="513"/>
      <c r="J94" s="651">
        <v>1</v>
      </c>
      <c r="K94" s="652" t="s">
        <v>2689</v>
      </c>
      <c r="L94" s="653"/>
      <c r="M94" s="626"/>
      <c r="N94" s="653"/>
      <c r="O94" s="653"/>
      <c r="P94" s="653"/>
      <c r="Q94" s="626"/>
      <c r="R94" s="653"/>
      <c r="S94" s="653"/>
      <c r="T94" s="654"/>
      <c r="U94" s="655"/>
      <c r="V94" s="653"/>
      <c r="W94" s="653"/>
      <c r="X94" s="656"/>
      <c r="Y94" s="517"/>
      <c r="Z94" s="517"/>
      <c r="AA94" s="517"/>
      <c r="AB94" s="517"/>
      <c r="AC94" s="517"/>
      <c r="AD94" s="578"/>
      <c r="AE94" s="578"/>
      <c r="AF94" s="517"/>
      <c r="AG94" s="578"/>
      <c r="AH94" s="578"/>
      <c r="AI94" s="578"/>
      <c r="AJ94" s="591"/>
    </row>
    <row r="95" spans="1:36" ht="16.5">
      <c r="A95" s="510"/>
      <c r="B95" s="510"/>
      <c r="C95" s="510"/>
      <c r="D95" s="510"/>
      <c r="E95" s="510"/>
      <c r="F95" s="510"/>
      <c r="G95" s="510"/>
      <c r="H95" s="513"/>
      <c r="I95" s="513"/>
      <c r="J95" s="651">
        <v>2</v>
      </c>
      <c r="K95" s="633" t="s">
        <v>1380</v>
      </c>
      <c r="L95" s="654"/>
      <c r="M95" s="654"/>
      <c r="N95" s="653"/>
      <c r="O95" s="653"/>
      <c r="P95" s="653"/>
      <c r="Q95" s="626"/>
      <c r="R95" s="653"/>
      <c r="S95" s="653"/>
      <c r="T95" s="653"/>
      <c r="U95" s="655"/>
      <c r="V95" s="653"/>
      <c r="W95" s="653"/>
      <c r="X95" s="656"/>
      <c r="Y95" s="517"/>
      <c r="Z95" s="517"/>
      <c r="AA95" s="517"/>
      <c r="AB95" s="517"/>
      <c r="AC95" s="517"/>
      <c r="AD95" s="578"/>
      <c r="AE95" s="578"/>
      <c r="AF95" s="517"/>
      <c r="AG95" s="578"/>
      <c r="AH95" s="578"/>
      <c r="AI95" s="578"/>
      <c r="AJ95" s="591"/>
    </row>
    <row r="96" spans="1:36" ht="16.5">
      <c r="A96" s="510"/>
      <c r="B96" s="510"/>
      <c r="C96" s="510"/>
      <c r="D96" s="510"/>
      <c r="E96" s="510"/>
      <c r="F96" s="510"/>
      <c r="G96" s="510"/>
      <c r="H96" s="513"/>
      <c r="I96" s="513"/>
      <c r="J96" s="657">
        <v>3</v>
      </c>
      <c r="K96" s="633" t="s">
        <v>1385</v>
      </c>
      <c r="L96" s="658"/>
      <c r="M96" s="659"/>
      <c r="N96" s="652"/>
      <c r="O96" s="659"/>
      <c r="P96" s="652"/>
      <c r="Q96" s="625"/>
      <c r="R96" s="652"/>
      <c r="S96" s="652"/>
      <c r="T96" s="652"/>
      <c r="U96" s="660"/>
      <c r="V96" s="652"/>
      <c r="W96" s="652"/>
      <c r="X96" s="661"/>
      <c r="Y96" s="607"/>
      <c r="Z96" s="578"/>
      <c r="AA96" s="578"/>
      <c r="AB96" s="578"/>
      <c r="AC96" s="578"/>
      <c r="AD96" s="578"/>
      <c r="AE96" s="578"/>
      <c r="AF96" s="517"/>
      <c r="AG96" s="578"/>
      <c r="AH96" s="578"/>
      <c r="AI96" s="578"/>
      <c r="AJ96" s="591"/>
    </row>
    <row r="97" spans="1:36" ht="16.5">
      <c r="A97" s="510"/>
      <c r="B97" s="510"/>
      <c r="C97" s="510"/>
      <c r="D97" s="510"/>
      <c r="E97" s="510"/>
      <c r="F97" s="510"/>
      <c r="G97" s="510"/>
      <c r="H97" s="513"/>
      <c r="I97" s="513"/>
      <c r="J97" s="651">
        <v>4</v>
      </c>
      <c r="K97" s="633" t="s">
        <v>1394</v>
      </c>
      <c r="L97" s="654"/>
      <c r="M97" s="653"/>
      <c r="N97" s="654"/>
      <c r="O97" s="653"/>
      <c r="P97" s="653"/>
      <c r="Q97" s="654"/>
      <c r="R97" s="653"/>
      <c r="S97" s="653"/>
      <c r="T97" s="653"/>
      <c r="U97" s="655"/>
      <c r="V97" s="654"/>
      <c r="W97" s="653"/>
      <c r="X97" s="656"/>
      <c r="Y97" s="517"/>
      <c r="Z97" s="578"/>
      <c r="AA97" s="578"/>
      <c r="AB97" s="578"/>
      <c r="AC97" s="578"/>
      <c r="AD97" s="516"/>
      <c r="AE97" s="578"/>
      <c r="AF97" s="517"/>
      <c r="AG97" s="578"/>
      <c r="AH97" s="578"/>
      <c r="AI97" s="578"/>
      <c r="AJ97" s="591"/>
    </row>
    <row r="98" spans="1:36" ht="16.5">
      <c r="A98" s="510"/>
      <c r="B98" s="510"/>
      <c r="C98" s="510"/>
      <c r="D98" s="510"/>
      <c r="E98" s="510"/>
      <c r="F98" s="510"/>
      <c r="G98" s="510"/>
      <c r="H98" s="513"/>
      <c r="I98" s="513"/>
      <c r="J98" s="651">
        <v>5</v>
      </c>
      <c r="K98" s="633" t="s">
        <v>1522</v>
      </c>
      <c r="L98" s="662"/>
      <c r="M98" s="653"/>
      <c r="N98" s="654"/>
      <c r="O98" s="654"/>
      <c r="P98" s="653"/>
      <c r="Q98" s="654"/>
      <c r="R98" s="653"/>
      <c r="S98" s="653"/>
      <c r="T98" s="653"/>
      <c r="U98" s="655"/>
      <c r="V98" s="654"/>
      <c r="W98" s="653"/>
      <c r="X98" s="656"/>
      <c r="Y98" s="517"/>
      <c r="Z98" s="578"/>
      <c r="AA98" s="578"/>
      <c r="AB98" s="578"/>
      <c r="AC98" s="578"/>
      <c r="AD98" s="517"/>
      <c r="AE98" s="578"/>
      <c r="AF98" s="517"/>
      <c r="AG98" s="578"/>
      <c r="AH98" s="578"/>
      <c r="AI98" s="578"/>
      <c r="AJ98" s="591"/>
    </row>
    <row r="99" spans="1:36" ht="31.5">
      <c r="A99" s="510"/>
      <c r="B99" s="510"/>
      <c r="C99" s="510"/>
      <c r="D99" s="510"/>
      <c r="E99" s="510"/>
      <c r="F99" s="510"/>
      <c r="G99" s="510"/>
      <c r="H99" s="513"/>
      <c r="I99" s="513"/>
      <c r="J99" s="651">
        <v>6</v>
      </c>
      <c r="K99" s="633" t="s">
        <v>1408</v>
      </c>
      <c r="L99" s="654"/>
      <c r="M99" s="653"/>
      <c r="N99" s="653"/>
      <c r="O99" s="653"/>
      <c r="P99" s="653"/>
      <c r="Q99" s="626"/>
      <c r="R99" s="653"/>
      <c r="S99" s="653"/>
      <c r="T99" s="653"/>
      <c r="U99" s="655"/>
      <c r="V99" s="653"/>
      <c r="W99" s="653"/>
      <c r="X99" s="656"/>
      <c r="Y99" s="517"/>
      <c r="Z99" s="578"/>
      <c r="AA99" s="578"/>
      <c r="AB99" s="578"/>
      <c r="AC99" s="578"/>
      <c r="AD99" s="517"/>
      <c r="AE99" s="516"/>
      <c r="AF99" s="517"/>
      <c r="AG99" s="578"/>
      <c r="AH99" s="578"/>
      <c r="AI99" s="578"/>
      <c r="AJ99" s="591"/>
    </row>
    <row r="100" spans="1:36" ht="31.5">
      <c r="A100" s="510"/>
      <c r="B100" s="510"/>
      <c r="C100" s="510"/>
      <c r="D100" s="510"/>
      <c r="E100" s="510"/>
      <c r="F100" s="510"/>
      <c r="G100" s="510"/>
      <c r="H100" s="513"/>
      <c r="I100" s="513"/>
      <c r="J100" s="651">
        <v>7</v>
      </c>
      <c r="K100" s="633" t="s">
        <v>1414</v>
      </c>
      <c r="L100" s="662"/>
      <c r="M100" s="653"/>
      <c r="N100" s="653"/>
      <c r="O100" s="654"/>
      <c r="P100" s="653"/>
      <c r="Q100" s="626"/>
      <c r="R100" s="653"/>
      <c r="S100" s="653"/>
      <c r="T100" s="653"/>
      <c r="U100" s="655"/>
      <c r="V100" s="653"/>
      <c r="W100" s="653"/>
      <c r="X100" s="656"/>
      <c r="Y100" s="517"/>
      <c r="Z100" s="578"/>
      <c r="AA100" s="578"/>
      <c r="AB100" s="578"/>
      <c r="AC100" s="578"/>
      <c r="AD100" s="517"/>
      <c r="AE100" s="517"/>
      <c r="AF100" s="517"/>
      <c r="AG100" s="578"/>
      <c r="AH100" s="578"/>
      <c r="AI100" s="578"/>
      <c r="AJ100" s="591"/>
    </row>
    <row r="101" spans="1:36" ht="16.5">
      <c r="A101" s="510"/>
      <c r="B101" s="510"/>
      <c r="C101" s="510"/>
      <c r="D101" s="510"/>
      <c r="E101" s="510"/>
      <c r="F101" s="510"/>
      <c r="G101" s="510"/>
      <c r="H101" s="513"/>
      <c r="I101" s="513"/>
      <c r="J101" s="651" t="s">
        <v>2486</v>
      </c>
      <c r="K101" s="633" t="s">
        <v>1523</v>
      </c>
      <c r="L101" s="663"/>
      <c r="M101" s="664"/>
      <c r="N101" s="664"/>
      <c r="O101" s="664"/>
      <c r="P101" s="664"/>
      <c r="Q101" s="665"/>
      <c r="R101" s="664"/>
      <c r="S101" s="664"/>
      <c r="T101" s="664"/>
      <c r="U101" s="664"/>
      <c r="V101" s="663"/>
      <c r="W101" s="664"/>
      <c r="X101" s="666"/>
      <c r="Y101" s="578"/>
      <c r="Z101" s="578"/>
      <c r="AA101" s="578"/>
      <c r="AB101" s="578"/>
      <c r="AC101" s="578"/>
      <c r="AD101" s="517"/>
      <c r="AE101" s="517"/>
      <c r="AF101" s="517"/>
      <c r="AG101" s="516"/>
      <c r="AH101" s="516"/>
      <c r="AI101" s="516"/>
      <c r="AJ101" s="600"/>
    </row>
    <row r="102" spans="1:36" ht="16.5">
      <c r="A102" s="510"/>
      <c r="B102" s="510"/>
      <c r="C102" s="510"/>
      <c r="D102" s="510"/>
      <c r="E102" s="510"/>
      <c r="F102" s="510"/>
      <c r="G102" s="510"/>
      <c r="H102" s="513"/>
      <c r="I102" s="513"/>
      <c r="J102" s="651" t="s">
        <v>2493</v>
      </c>
      <c r="K102" s="633" t="s">
        <v>1524</v>
      </c>
      <c r="L102" s="667"/>
      <c r="M102" s="668"/>
      <c r="N102" s="668"/>
      <c r="O102" s="669"/>
      <c r="P102" s="668"/>
      <c r="Q102" s="670"/>
      <c r="R102" s="668"/>
      <c r="S102" s="668"/>
      <c r="T102" s="668"/>
      <c r="U102" s="668"/>
      <c r="V102" s="669"/>
      <c r="W102" s="668"/>
      <c r="X102" s="671"/>
      <c r="Y102" s="511"/>
      <c r="Z102" s="578"/>
      <c r="AA102" s="578"/>
      <c r="AB102" s="578"/>
      <c r="AC102" s="578"/>
      <c r="AD102" s="517"/>
      <c r="AE102" s="517"/>
      <c r="AF102" s="517"/>
      <c r="AG102" s="517"/>
      <c r="AH102" s="517"/>
      <c r="AI102" s="517"/>
      <c r="AJ102" s="513"/>
    </row>
    <row r="103" spans="1:36" ht="16.5">
      <c r="A103" s="510"/>
      <c r="B103" s="510"/>
      <c r="C103" s="510"/>
      <c r="D103" s="510"/>
      <c r="E103" s="510"/>
      <c r="F103" s="510"/>
      <c r="G103" s="510"/>
      <c r="H103" s="513"/>
      <c r="I103" s="513"/>
      <c r="J103" s="651" t="s">
        <v>2499</v>
      </c>
      <c r="K103" s="633" t="s">
        <v>1427</v>
      </c>
      <c r="L103" s="669"/>
      <c r="M103" s="670"/>
      <c r="N103" s="669"/>
      <c r="O103" s="670"/>
      <c r="P103" s="670"/>
      <c r="Q103" s="669"/>
      <c r="R103" s="670"/>
      <c r="S103" s="670"/>
      <c r="T103" s="670"/>
      <c r="U103" s="670"/>
      <c r="V103" s="670"/>
      <c r="W103" s="672"/>
      <c r="X103" s="671"/>
      <c r="Y103" s="673"/>
      <c r="Z103" s="674"/>
      <c r="AA103" s="578"/>
      <c r="AB103" s="578"/>
      <c r="AC103" s="578"/>
      <c r="AD103" s="517"/>
      <c r="AE103" s="517"/>
      <c r="AF103" s="517"/>
      <c r="AG103" s="517"/>
      <c r="AH103" s="517"/>
      <c r="AI103" s="517"/>
      <c r="AJ103" s="513"/>
    </row>
    <row r="104" spans="1:36" ht="31.5">
      <c r="A104" s="510"/>
      <c r="B104" s="510"/>
      <c r="C104" s="510"/>
      <c r="D104" s="510"/>
      <c r="E104" s="510"/>
      <c r="F104" s="510"/>
      <c r="G104" s="510"/>
      <c r="H104" s="513"/>
      <c r="I104" s="513"/>
      <c r="J104" s="651" t="s">
        <v>2502</v>
      </c>
      <c r="K104" s="633" t="s">
        <v>1431</v>
      </c>
      <c r="L104" s="654"/>
      <c r="M104" s="626"/>
      <c r="N104" s="626"/>
      <c r="O104" s="626"/>
      <c r="P104" s="626"/>
      <c r="Q104" s="626"/>
      <c r="R104" s="626"/>
      <c r="S104" s="626"/>
      <c r="T104" s="626"/>
      <c r="U104" s="626"/>
      <c r="V104" s="626"/>
      <c r="W104" s="655"/>
      <c r="X104" s="656"/>
      <c r="Y104" s="673"/>
      <c r="Z104" s="674"/>
      <c r="AA104" s="578"/>
      <c r="AB104" s="578"/>
      <c r="AC104" s="578"/>
      <c r="AD104" s="517"/>
      <c r="AE104" s="517"/>
      <c r="AF104" s="517"/>
      <c r="AG104" s="517"/>
      <c r="AH104" s="517"/>
      <c r="AI104" s="517"/>
      <c r="AJ104" s="513"/>
    </row>
    <row r="105" spans="1:36" ht="32.25" thickBot="1">
      <c r="A105" s="510"/>
      <c r="B105" s="510"/>
      <c r="C105" s="510"/>
      <c r="D105" s="510"/>
      <c r="E105" s="510"/>
      <c r="F105" s="510"/>
      <c r="G105" s="510"/>
      <c r="H105" s="513"/>
      <c r="I105" s="513"/>
      <c r="J105" s="675" t="s">
        <v>2082</v>
      </c>
      <c r="K105" s="633" t="s">
        <v>1434</v>
      </c>
      <c r="L105" s="676"/>
      <c r="M105" s="677"/>
      <c r="N105" s="677"/>
      <c r="O105" s="678"/>
      <c r="P105" s="677"/>
      <c r="Q105" s="677"/>
      <c r="R105" s="677"/>
      <c r="S105" s="677"/>
      <c r="T105" s="677"/>
      <c r="U105" s="677"/>
      <c r="V105" s="677"/>
      <c r="W105" s="679"/>
      <c r="X105" s="680"/>
      <c r="Y105" s="673"/>
      <c r="Z105" s="674"/>
      <c r="AA105" s="578"/>
      <c r="AB105" s="578"/>
      <c r="AC105" s="578"/>
      <c r="AD105" s="517"/>
      <c r="AE105" s="517"/>
      <c r="AF105" s="517"/>
      <c r="AG105" s="517"/>
      <c r="AH105" s="517"/>
      <c r="AI105" s="517"/>
      <c r="AJ105" s="513"/>
    </row>
    <row r="106" spans="1:36" ht="12.75">
      <c r="A106" s="510"/>
      <c r="B106" s="510"/>
      <c r="C106" s="510"/>
      <c r="D106" s="510"/>
      <c r="E106" s="510"/>
      <c r="F106" s="510"/>
      <c r="G106" s="510"/>
      <c r="H106" s="510"/>
      <c r="I106" s="510"/>
      <c r="J106" s="681"/>
      <c r="K106" s="681"/>
      <c r="L106" s="681"/>
      <c r="M106" s="681"/>
      <c r="N106" s="681"/>
      <c r="O106" s="681"/>
      <c r="P106" s="681"/>
      <c r="Q106" s="681"/>
      <c r="R106" s="681"/>
      <c r="S106" s="681"/>
      <c r="T106" s="681"/>
      <c r="U106" s="681"/>
      <c r="V106" s="681"/>
      <c r="W106" s="681"/>
      <c r="X106" s="681"/>
      <c r="Y106" s="673"/>
      <c r="Z106" s="674"/>
      <c r="AA106" s="578"/>
      <c r="AB106" s="578"/>
      <c r="AC106" s="578"/>
      <c r="AD106" s="517"/>
      <c r="AE106" s="517"/>
      <c r="AF106" s="517"/>
      <c r="AG106" s="517"/>
      <c r="AH106" s="517"/>
      <c r="AI106" s="517"/>
      <c r="AJ106" s="513"/>
    </row>
  </sheetData>
  <mergeCells count="54">
    <mergeCell ref="B3:AC3"/>
    <mergeCell ref="B5:G5"/>
    <mergeCell ref="K5:L5"/>
    <mergeCell ref="M5:X5"/>
    <mergeCell ref="B7:G8"/>
    <mergeCell ref="K7:L7"/>
    <mergeCell ref="M7:S7"/>
    <mergeCell ref="B9:G9"/>
    <mergeCell ref="J9:AC9"/>
    <mergeCell ref="Y11:AC11"/>
    <mergeCell ref="B12:B24"/>
    <mergeCell ref="Y12:AC12"/>
    <mergeCell ref="Y13:AC13"/>
    <mergeCell ref="Y14:AC14"/>
    <mergeCell ref="Y15:AC15"/>
    <mergeCell ref="Y16:AC16"/>
    <mergeCell ref="Y17:AC17"/>
    <mergeCell ref="Y18:AC18"/>
    <mergeCell ref="Y19:AC19"/>
    <mergeCell ref="Y20:AC20"/>
    <mergeCell ref="Y21:AC21"/>
    <mergeCell ref="Y22:AC22"/>
    <mergeCell ref="Y23:AC23"/>
    <mergeCell ref="K24:X24"/>
    <mergeCell ref="B25:B45"/>
    <mergeCell ref="J31:AC31"/>
    <mergeCell ref="Y33:AC33"/>
    <mergeCell ref="Y34:AC34"/>
    <mergeCell ref="Y35:AC35"/>
    <mergeCell ref="Y36:AC36"/>
    <mergeCell ref="Y37:AC37"/>
    <mergeCell ref="Y38:AC38"/>
    <mergeCell ref="Y39:AC39"/>
    <mergeCell ref="Y40:AC40"/>
    <mergeCell ref="Y41:AC41"/>
    <mergeCell ref="Y42:AC42"/>
    <mergeCell ref="Y43:AC43"/>
    <mergeCell ref="Y44:AC44"/>
    <mergeCell ref="Y45:AC45"/>
    <mergeCell ref="B46:B66"/>
    <mergeCell ref="K46:X46"/>
    <mergeCell ref="J53:AJ53"/>
    <mergeCell ref="Y55:AC55"/>
    <mergeCell ref="J85:AC85"/>
    <mergeCell ref="M87:R87"/>
    <mergeCell ref="S87:W87"/>
    <mergeCell ref="M88:R88"/>
    <mergeCell ref="S88:W88"/>
    <mergeCell ref="M91:R91"/>
    <mergeCell ref="S91:W91"/>
    <mergeCell ref="M89:R89"/>
    <mergeCell ref="S89:W89"/>
    <mergeCell ref="M90:R90"/>
    <mergeCell ref="S90:W90"/>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J157"/>
  <sheetViews>
    <sheetView zoomScale="55" zoomScaleNormal="55" workbookViewId="0" topLeftCell="A1">
      <selection activeCell="B9" sqref="B9:G9"/>
    </sheetView>
  </sheetViews>
  <sheetFormatPr defaultColWidth="9.140625" defaultRowHeight="12.75"/>
  <cols>
    <col min="1" max="1" width="2.140625" style="0" customWidth="1"/>
    <col min="2" max="2" width="11.421875" style="0" customWidth="1"/>
    <col min="3" max="3" width="75.7109375" style="0" bestFit="1" customWidth="1"/>
    <col min="4" max="4" width="12.7109375" style="0" customWidth="1"/>
    <col min="5" max="7" width="11.421875" style="0" customWidth="1"/>
    <col min="8" max="8" width="7.28125" style="0" customWidth="1"/>
    <col min="9" max="9" width="6.57421875" style="0" customWidth="1"/>
    <col min="10" max="10" width="5.7109375" style="0" customWidth="1"/>
    <col min="11" max="11" width="51.57421875" style="0" bestFit="1" customWidth="1"/>
    <col min="12" max="12" width="14.57421875" style="0" customWidth="1"/>
    <col min="13" max="13" width="10.140625" style="0" bestFit="1" customWidth="1"/>
    <col min="14" max="14" width="18.28125" style="0" customWidth="1"/>
    <col min="15" max="15" width="14.57421875" style="0" customWidth="1"/>
    <col min="16" max="16" width="14.8515625" style="0" customWidth="1"/>
    <col min="17" max="17" width="20.00390625" style="0" customWidth="1"/>
    <col min="18" max="18" width="28.7109375" style="0" customWidth="1"/>
    <col min="19" max="22" width="10.140625" style="0" bestFit="1" customWidth="1"/>
    <col min="23" max="23" width="11.8515625" style="0" customWidth="1"/>
    <col min="24" max="24" width="10.140625" style="0" bestFit="1" customWidth="1"/>
    <col min="25" max="25" width="12.421875" style="0" bestFit="1" customWidth="1"/>
    <col min="26" max="26" width="13.8515625" style="0" customWidth="1"/>
    <col min="27" max="27" width="10.140625" style="0" bestFit="1" customWidth="1"/>
    <col min="28" max="28" width="21.7109375" style="0" customWidth="1"/>
    <col min="29" max="29" width="8.00390625" style="0" customWidth="1"/>
    <col min="30" max="30" width="11.8515625" style="0" customWidth="1"/>
    <col min="31" max="31" width="14.28125" style="0" customWidth="1"/>
    <col min="32" max="32" width="14.421875" style="0" customWidth="1"/>
    <col min="33" max="33" width="14.00390625" style="0" customWidth="1"/>
    <col min="34" max="34" width="12.00390625" style="0" customWidth="1"/>
    <col min="35" max="35" width="12.7109375" style="0" customWidth="1"/>
    <col min="36" max="16384" width="11.421875" style="0" customWidth="1"/>
  </cols>
  <sheetData>
    <row r="1" spans="1:36" ht="12.75">
      <c r="A1" s="682"/>
      <c r="B1" s="682"/>
      <c r="C1" s="683"/>
      <c r="D1" s="683"/>
      <c r="E1" s="683"/>
      <c r="F1" s="683"/>
      <c r="G1" s="683"/>
      <c r="H1" s="682"/>
      <c r="I1" s="682"/>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2"/>
    </row>
    <row r="2" spans="1:36" ht="13.5" thickBot="1">
      <c r="A2" s="682"/>
      <c r="B2" s="682"/>
      <c r="C2" s="683"/>
      <c r="D2" s="683"/>
      <c r="E2" s="683"/>
      <c r="F2" s="683"/>
      <c r="G2" s="683"/>
      <c r="H2" s="682"/>
      <c r="I2" s="682"/>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2"/>
    </row>
    <row r="3" spans="1:36" ht="34.5" thickBot="1">
      <c r="A3" s="682"/>
      <c r="B3" s="1408" t="s">
        <v>2128</v>
      </c>
      <c r="C3" s="1409"/>
      <c r="D3" s="1409"/>
      <c r="E3" s="1409"/>
      <c r="F3" s="1409"/>
      <c r="G3" s="1409"/>
      <c r="H3" s="1409"/>
      <c r="I3" s="1409"/>
      <c r="J3" s="1409"/>
      <c r="K3" s="1409"/>
      <c r="L3" s="1409"/>
      <c r="M3" s="1409"/>
      <c r="N3" s="1409"/>
      <c r="O3" s="1409"/>
      <c r="P3" s="1409"/>
      <c r="Q3" s="1409"/>
      <c r="R3" s="1409"/>
      <c r="S3" s="1409"/>
      <c r="T3" s="1409"/>
      <c r="U3" s="1409"/>
      <c r="V3" s="1409"/>
      <c r="W3" s="1409"/>
      <c r="X3" s="1409"/>
      <c r="Y3" s="1409"/>
      <c r="Z3" s="1409"/>
      <c r="AA3" s="1409"/>
      <c r="AB3" s="1409"/>
      <c r="AC3" s="1409"/>
      <c r="AD3" s="1409"/>
      <c r="AE3" s="1409"/>
      <c r="AF3" s="1409"/>
      <c r="AG3" s="1409"/>
      <c r="AH3" s="1409"/>
      <c r="AI3" s="1409"/>
      <c r="AJ3" s="1410"/>
    </row>
    <row r="4" spans="1:36" ht="13.5" thickBot="1">
      <c r="A4" s="682"/>
      <c r="B4" s="682"/>
      <c r="C4" s="683"/>
      <c r="D4" s="683"/>
      <c r="E4" s="683"/>
      <c r="F4" s="683"/>
      <c r="G4" s="683"/>
      <c r="H4" s="682"/>
      <c r="I4" s="682"/>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4"/>
      <c r="AI4" s="684"/>
      <c r="AJ4" s="682"/>
    </row>
    <row r="5" spans="1:36" ht="30.75" thickBot="1">
      <c r="A5" s="682"/>
      <c r="B5" s="1331" t="s">
        <v>2263</v>
      </c>
      <c r="C5" s="1332"/>
      <c r="D5" s="1332"/>
      <c r="E5" s="1332"/>
      <c r="F5" s="1332"/>
      <c r="G5" s="1333"/>
      <c r="H5" s="682"/>
      <c r="I5" s="682"/>
      <c r="J5" s="8"/>
      <c r="K5" s="1352" t="s">
        <v>2264</v>
      </c>
      <c r="L5" s="1358"/>
      <c r="M5" s="1359" t="s">
        <v>2129</v>
      </c>
      <c r="N5" s="1360"/>
      <c r="O5" s="1360"/>
      <c r="P5" s="1360"/>
      <c r="Q5" s="1360"/>
      <c r="R5" s="1360"/>
      <c r="S5" s="1360"/>
      <c r="T5" s="1360"/>
      <c r="U5" s="1360"/>
      <c r="V5" s="1360"/>
      <c r="W5" s="1360"/>
      <c r="X5" s="1360"/>
      <c r="Y5" s="1360"/>
      <c r="Z5" s="1360"/>
      <c r="AA5" s="1360"/>
      <c r="AB5" s="1360"/>
      <c r="AC5" s="1361"/>
      <c r="AD5" s="9"/>
      <c r="AE5" s="9"/>
      <c r="AF5" s="9"/>
      <c r="AG5" s="9"/>
      <c r="AH5" s="249"/>
      <c r="AI5" s="250"/>
      <c r="AJ5" s="250"/>
    </row>
    <row r="6" spans="1:36" ht="15" thickBot="1">
      <c r="A6" s="682"/>
      <c r="B6" s="7"/>
      <c r="C6" s="7"/>
      <c r="D6" s="8"/>
      <c r="E6" s="8"/>
      <c r="F6" s="8"/>
      <c r="G6" s="8"/>
      <c r="H6" s="682"/>
      <c r="I6" s="682"/>
      <c r="J6" s="8"/>
      <c r="K6" s="12"/>
      <c r="L6" s="12"/>
      <c r="M6" s="12"/>
      <c r="N6" s="12"/>
      <c r="O6" s="12"/>
      <c r="P6" s="12"/>
      <c r="Q6" s="8"/>
      <c r="R6" s="8"/>
      <c r="S6" s="8"/>
      <c r="T6" s="8"/>
      <c r="U6" s="8"/>
      <c r="V6" s="8"/>
      <c r="W6" s="8"/>
      <c r="X6" s="8"/>
      <c r="Y6" s="9"/>
      <c r="Z6" s="9"/>
      <c r="AA6" s="9"/>
      <c r="AB6" s="9"/>
      <c r="AC6" s="9"/>
      <c r="AD6" s="9"/>
      <c r="AE6" s="9"/>
      <c r="AF6" s="9"/>
      <c r="AG6" s="9"/>
      <c r="AH6" s="249"/>
      <c r="AI6" s="190"/>
      <c r="AJ6" s="251"/>
    </row>
    <row r="7" spans="1:36" ht="18.75" thickBot="1">
      <c r="A7" s="682"/>
      <c r="B7" s="1330" t="s">
        <v>2130</v>
      </c>
      <c r="C7" s="1330"/>
      <c r="D7" s="1330"/>
      <c r="E7" s="1330"/>
      <c r="F7" s="1330"/>
      <c r="G7" s="1330"/>
      <c r="H7" s="682"/>
      <c r="I7" s="682"/>
      <c r="J7" s="8"/>
      <c r="K7" s="1352" t="s">
        <v>2267</v>
      </c>
      <c r="L7" s="1353"/>
      <c r="M7" s="1354" t="s">
        <v>2268</v>
      </c>
      <c r="N7" s="1355"/>
      <c r="O7" s="1355"/>
      <c r="P7" s="1355"/>
      <c r="Q7" s="1355"/>
      <c r="R7" s="1355"/>
      <c r="S7" s="1326"/>
      <c r="T7" s="8"/>
      <c r="U7" s="8"/>
      <c r="V7" s="8"/>
      <c r="W7" s="8"/>
      <c r="X7" s="8"/>
      <c r="Y7" s="9"/>
      <c r="Z7" s="9"/>
      <c r="AA7" s="9"/>
      <c r="AB7" s="9"/>
      <c r="AC7" s="9"/>
      <c r="AD7" s="9"/>
      <c r="AE7" s="9"/>
      <c r="AF7" s="9"/>
      <c r="AG7" s="9"/>
      <c r="AH7" s="249"/>
      <c r="AI7" s="190"/>
      <c r="AJ7" s="251"/>
    </row>
    <row r="8" spans="1:36" ht="15" thickBot="1">
      <c r="A8" s="682"/>
      <c r="B8" s="1330"/>
      <c r="C8" s="1330"/>
      <c r="D8" s="1330"/>
      <c r="E8" s="1330"/>
      <c r="F8" s="1330"/>
      <c r="G8" s="1330"/>
      <c r="H8" s="682"/>
      <c r="I8" s="682"/>
      <c r="J8" s="8"/>
      <c r="K8" s="8"/>
      <c r="L8" s="8"/>
      <c r="M8" s="8"/>
      <c r="N8" s="8"/>
      <c r="O8" s="8"/>
      <c r="P8" s="8"/>
      <c r="Q8" s="8"/>
      <c r="R8" s="8"/>
      <c r="S8" s="8"/>
      <c r="T8" s="8"/>
      <c r="U8" s="8"/>
      <c r="V8" s="8"/>
      <c r="W8" s="8"/>
      <c r="X8" s="8"/>
      <c r="Y8" s="9"/>
      <c r="Z8" s="9"/>
      <c r="AA8" s="9"/>
      <c r="AB8" s="9"/>
      <c r="AC8" s="9"/>
      <c r="AD8" s="9"/>
      <c r="AE8" s="9"/>
      <c r="AF8" s="9"/>
      <c r="AG8" s="9"/>
      <c r="AH8" s="249"/>
      <c r="AI8" s="190"/>
      <c r="AJ8" s="251"/>
    </row>
    <row r="9" spans="1:36" ht="30.75" thickBot="1">
      <c r="A9" s="682"/>
      <c r="B9" s="1324" t="s">
        <v>1387</v>
      </c>
      <c r="C9" s="1324"/>
      <c r="D9" s="1324"/>
      <c r="E9" s="1324"/>
      <c r="F9" s="1324"/>
      <c r="G9" s="1324"/>
      <c r="H9" s="682"/>
      <c r="I9" s="682"/>
      <c r="J9" s="1331" t="s">
        <v>2269</v>
      </c>
      <c r="K9" s="1332"/>
      <c r="L9" s="1332"/>
      <c r="M9" s="1332"/>
      <c r="N9" s="1332"/>
      <c r="O9" s="1332"/>
      <c r="P9" s="1332"/>
      <c r="Q9" s="1332"/>
      <c r="R9" s="1332"/>
      <c r="S9" s="1332"/>
      <c r="T9" s="1332"/>
      <c r="U9" s="1332"/>
      <c r="V9" s="1332"/>
      <c r="W9" s="1332"/>
      <c r="X9" s="1332"/>
      <c r="Y9" s="1332"/>
      <c r="Z9" s="1332"/>
      <c r="AA9" s="1332"/>
      <c r="AB9" s="1332"/>
      <c r="AC9" s="1332"/>
      <c r="AD9" s="1332"/>
      <c r="AE9" s="1332"/>
      <c r="AF9" s="1332"/>
      <c r="AG9" s="1332"/>
      <c r="AH9" s="1332"/>
      <c r="AI9" s="1332"/>
      <c r="AJ9" s="1333"/>
    </row>
    <row r="10" spans="1:36" ht="13.5" thickBot="1">
      <c r="A10" s="682"/>
      <c r="B10" s="682"/>
      <c r="C10" s="683"/>
      <c r="D10" s="683"/>
      <c r="E10" s="683"/>
      <c r="F10" s="683"/>
      <c r="G10" s="683"/>
      <c r="H10" s="682"/>
      <c r="I10" s="682"/>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2"/>
    </row>
    <row r="11" spans="1:36" ht="29.25" thickBot="1">
      <c r="A11" s="682"/>
      <c r="B11" s="682"/>
      <c r="C11" s="683"/>
      <c r="D11" s="685" t="s">
        <v>2270</v>
      </c>
      <c r="E11" s="686" t="s">
        <v>2271</v>
      </c>
      <c r="F11" s="253" t="s">
        <v>2272</v>
      </c>
      <c r="G11" s="687" t="s">
        <v>2273</v>
      </c>
      <c r="H11" s="682"/>
      <c r="I11" s="682"/>
      <c r="J11" s="688"/>
      <c r="K11" s="689" t="s">
        <v>2131</v>
      </c>
      <c r="L11" s="690" t="s">
        <v>2300</v>
      </c>
      <c r="M11" s="691" t="s">
        <v>2291</v>
      </c>
      <c r="N11" s="691" t="s">
        <v>2483</v>
      </c>
      <c r="O11" s="691" t="s">
        <v>2322</v>
      </c>
      <c r="P11" s="691" t="s">
        <v>2492</v>
      </c>
      <c r="Q11" s="691" t="s">
        <v>2497</v>
      </c>
      <c r="R11" s="691" t="s">
        <v>2132</v>
      </c>
      <c r="S11" s="691" t="s">
        <v>2296</v>
      </c>
      <c r="T11" s="691" t="s">
        <v>2310</v>
      </c>
      <c r="U11" s="691" t="s">
        <v>2305</v>
      </c>
      <c r="V11" s="691" t="s">
        <v>2501</v>
      </c>
      <c r="W11" s="691" t="s">
        <v>2685</v>
      </c>
      <c r="X11" s="691" t="s">
        <v>2506</v>
      </c>
      <c r="Y11" s="691" t="s">
        <v>2511</v>
      </c>
      <c r="Z11" s="691" t="s">
        <v>2508</v>
      </c>
      <c r="AA11" s="691" t="s">
        <v>2504</v>
      </c>
      <c r="AB11" s="692" t="s">
        <v>2520</v>
      </c>
      <c r="AC11" s="1394" t="s">
        <v>2288</v>
      </c>
      <c r="AD11" s="1395"/>
      <c r="AE11" s="1395"/>
      <c r="AF11" s="1395"/>
      <c r="AG11" s="1395"/>
      <c r="AH11" s="1395"/>
      <c r="AI11" s="1395"/>
      <c r="AJ11" s="1396"/>
    </row>
    <row r="12" spans="1:36" ht="39">
      <c r="A12" s="682"/>
      <c r="B12" s="1401" t="s">
        <v>2133</v>
      </c>
      <c r="C12" s="693" t="s">
        <v>2290</v>
      </c>
      <c r="D12" s="694" t="s">
        <v>2291</v>
      </c>
      <c r="E12" s="695" t="s">
        <v>2292</v>
      </c>
      <c r="F12" s="24" t="s">
        <v>2293</v>
      </c>
      <c r="G12" s="264"/>
      <c r="H12" s="682"/>
      <c r="I12" s="682"/>
      <c r="J12" s="696" t="s">
        <v>2467</v>
      </c>
      <c r="K12" s="697" t="s">
        <v>2689</v>
      </c>
      <c r="L12" s="527"/>
      <c r="M12" s="528" t="s">
        <v>1375</v>
      </c>
      <c r="N12" s="528" t="s">
        <v>1376</v>
      </c>
      <c r="O12" s="527"/>
      <c r="P12" s="527"/>
      <c r="Q12" s="579" t="s">
        <v>1526</v>
      </c>
      <c r="R12" s="529" t="s">
        <v>1527</v>
      </c>
      <c r="S12" s="698" t="s">
        <v>2134</v>
      </c>
      <c r="T12" s="527"/>
      <c r="U12" s="527">
        <v>-1</v>
      </c>
      <c r="V12" s="527"/>
      <c r="W12" s="527"/>
      <c r="X12" s="527"/>
      <c r="Y12" s="527"/>
      <c r="Z12" s="527"/>
      <c r="AA12" s="699"/>
      <c r="AB12" s="700" t="s">
        <v>1528</v>
      </c>
      <c r="AC12" s="1381" t="s">
        <v>1529</v>
      </c>
      <c r="AD12" s="1382"/>
      <c r="AE12" s="1382"/>
      <c r="AF12" s="1382"/>
      <c r="AG12" s="1382"/>
      <c r="AH12" s="1382"/>
      <c r="AI12" s="1382"/>
      <c r="AJ12" s="1383"/>
    </row>
    <row r="13" spans="1:36" ht="39">
      <c r="A13" s="682"/>
      <c r="B13" s="1402"/>
      <c r="C13" s="701" t="s">
        <v>2295</v>
      </c>
      <c r="D13" s="702" t="s">
        <v>2296</v>
      </c>
      <c r="E13" s="702" t="s">
        <v>2297</v>
      </c>
      <c r="F13" s="34" t="s">
        <v>2293</v>
      </c>
      <c r="G13" s="273"/>
      <c r="H13" s="682"/>
      <c r="I13" s="682"/>
      <c r="J13" s="703" t="s">
        <v>2473</v>
      </c>
      <c r="K13" s="704" t="s">
        <v>1380</v>
      </c>
      <c r="L13" s="535" t="s">
        <v>1381</v>
      </c>
      <c r="M13" s="536">
        <v>-1</v>
      </c>
      <c r="N13" s="537" t="s">
        <v>2690</v>
      </c>
      <c r="O13" s="535"/>
      <c r="P13" s="535"/>
      <c r="Q13" s="537" t="s">
        <v>2135</v>
      </c>
      <c r="R13" s="538" t="s">
        <v>1530</v>
      </c>
      <c r="S13" s="535"/>
      <c r="T13" s="535"/>
      <c r="U13" s="535"/>
      <c r="V13" s="535"/>
      <c r="W13" s="537" t="s">
        <v>2691</v>
      </c>
      <c r="X13" s="535"/>
      <c r="Y13" s="535"/>
      <c r="Z13" s="535"/>
      <c r="AA13" s="535"/>
      <c r="AB13" s="705" t="s">
        <v>1531</v>
      </c>
      <c r="AC13" s="1381" t="s">
        <v>1532</v>
      </c>
      <c r="AD13" s="1382"/>
      <c r="AE13" s="1382"/>
      <c r="AF13" s="1382"/>
      <c r="AG13" s="1382"/>
      <c r="AH13" s="1382"/>
      <c r="AI13" s="1382"/>
      <c r="AJ13" s="1383"/>
    </row>
    <row r="14" spans="1:36" ht="54">
      <c r="A14" s="682"/>
      <c r="B14" s="1402"/>
      <c r="C14" s="701" t="s">
        <v>2299</v>
      </c>
      <c r="D14" s="702" t="s">
        <v>2300</v>
      </c>
      <c r="E14" s="702" t="s">
        <v>2301</v>
      </c>
      <c r="F14" s="37" t="s">
        <v>2302</v>
      </c>
      <c r="G14" s="273"/>
      <c r="H14" s="682"/>
      <c r="I14" s="682"/>
      <c r="J14" s="703" t="s">
        <v>2475</v>
      </c>
      <c r="K14" s="704" t="s">
        <v>1385</v>
      </c>
      <c r="L14" s="535"/>
      <c r="M14" s="536">
        <v>-1</v>
      </c>
      <c r="N14" s="537" t="s">
        <v>2690</v>
      </c>
      <c r="O14" s="535" t="s">
        <v>1533</v>
      </c>
      <c r="P14" s="535" t="s">
        <v>1534</v>
      </c>
      <c r="Q14" s="537" t="s">
        <v>2135</v>
      </c>
      <c r="R14" s="537" t="s">
        <v>1535</v>
      </c>
      <c r="S14" s="535"/>
      <c r="T14" s="535"/>
      <c r="U14" s="535"/>
      <c r="V14" s="535"/>
      <c r="W14" s="537" t="s">
        <v>2136</v>
      </c>
      <c r="X14" s="535"/>
      <c r="Y14" s="535"/>
      <c r="Z14" s="535"/>
      <c r="AA14" s="535"/>
      <c r="AB14" s="705" t="s">
        <v>1536</v>
      </c>
      <c r="AC14" s="1381" t="s">
        <v>1537</v>
      </c>
      <c r="AD14" s="1382"/>
      <c r="AE14" s="1382"/>
      <c r="AF14" s="1382"/>
      <c r="AG14" s="1382"/>
      <c r="AH14" s="1382"/>
      <c r="AI14" s="1382"/>
      <c r="AJ14" s="1383"/>
    </row>
    <row r="15" spans="1:36" ht="54">
      <c r="A15" s="682"/>
      <c r="B15" s="1402"/>
      <c r="C15" s="701" t="s">
        <v>2304</v>
      </c>
      <c r="D15" s="702" t="s">
        <v>2305</v>
      </c>
      <c r="E15" s="702" t="s">
        <v>2306</v>
      </c>
      <c r="F15" s="34" t="s">
        <v>2293</v>
      </c>
      <c r="G15" s="273"/>
      <c r="H15" s="682"/>
      <c r="I15" s="682"/>
      <c r="J15" s="703" t="s">
        <v>2477</v>
      </c>
      <c r="K15" s="704" t="s">
        <v>1394</v>
      </c>
      <c r="L15" s="535" t="s">
        <v>1395</v>
      </c>
      <c r="M15" s="535"/>
      <c r="N15" s="535" t="s">
        <v>1396</v>
      </c>
      <c r="O15" s="535"/>
      <c r="P15" s="535"/>
      <c r="Q15" s="535" t="s">
        <v>1538</v>
      </c>
      <c r="R15" s="537" t="s">
        <v>1539</v>
      </c>
      <c r="S15" s="535"/>
      <c r="T15" s="535"/>
      <c r="U15" s="535"/>
      <c r="V15" s="536">
        <v>1</v>
      </c>
      <c r="W15" s="535" t="s">
        <v>1398</v>
      </c>
      <c r="X15" s="535"/>
      <c r="Y15" s="535"/>
      <c r="Z15" s="535"/>
      <c r="AA15" s="535"/>
      <c r="AB15" s="706" t="s">
        <v>1540</v>
      </c>
      <c r="AC15" s="1381" t="s">
        <v>1541</v>
      </c>
      <c r="AD15" s="1382"/>
      <c r="AE15" s="1382"/>
      <c r="AF15" s="1382"/>
      <c r="AG15" s="1382"/>
      <c r="AH15" s="1382"/>
      <c r="AI15" s="1382"/>
      <c r="AJ15" s="1383"/>
    </row>
    <row r="16" spans="1:36" ht="54">
      <c r="A16" s="682"/>
      <c r="B16" s="1402"/>
      <c r="C16" s="701" t="s">
        <v>2480</v>
      </c>
      <c r="D16" s="702" t="s">
        <v>2310</v>
      </c>
      <c r="E16" s="702" t="s">
        <v>2481</v>
      </c>
      <c r="F16" s="34" t="s">
        <v>2293</v>
      </c>
      <c r="G16" s="273"/>
      <c r="H16" s="682"/>
      <c r="I16" s="682"/>
      <c r="J16" s="703" t="s">
        <v>2479</v>
      </c>
      <c r="K16" s="704" t="s">
        <v>1522</v>
      </c>
      <c r="L16" s="535"/>
      <c r="M16" s="535"/>
      <c r="N16" s="535" t="s">
        <v>1396</v>
      </c>
      <c r="O16" s="535" t="s">
        <v>1542</v>
      </c>
      <c r="P16" s="535" t="s">
        <v>1543</v>
      </c>
      <c r="Q16" s="535" t="s">
        <v>1538</v>
      </c>
      <c r="R16" s="537" t="s">
        <v>1544</v>
      </c>
      <c r="S16" s="535"/>
      <c r="T16" s="535"/>
      <c r="U16" s="535"/>
      <c r="V16" s="536">
        <v>1</v>
      </c>
      <c r="W16" s="535" t="s">
        <v>1545</v>
      </c>
      <c r="X16" s="535"/>
      <c r="Y16" s="535"/>
      <c r="Z16" s="535"/>
      <c r="AA16" s="535"/>
      <c r="AB16" s="706" t="s">
        <v>1546</v>
      </c>
      <c r="AC16" s="1381" t="s">
        <v>1547</v>
      </c>
      <c r="AD16" s="1382"/>
      <c r="AE16" s="1382"/>
      <c r="AF16" s="1382"/>
      <c r="AG16" s="1382"/>
      <c r="AH16" s="1382"/>
      <c r="AI16" s="1382"/>
      <c r="AJ16" s="1383"/>
    </row>
    <row r="17" spans="1:36" ht="39">
      <c r="A17" s="682"/>
      <c r="B17" s="1402"/>
      <c r="C17" s="701" t="s">
        <v>2078</v>
      </c>
      <c r="D17" s="702" t="s">
        <v>2318</v>
      </c>
      <c r="E17" s="702" t="s">
        <v>2319</v>
      </c>
      <c r="F17" s="34" t="s">
        <v>2320</v>
      </c>
      <c r="G17" s="273"/>
      <c r="H17" s="682"/>
      <c r="I17" s="682"/>
      <c r="J17" s="703" t="s">
        <v>2482</v>
      </c>
      <c r="K17" s="704" t="s">
        <v>1408</v>
      </c>
      <c r="L17" s="535" t="s">
        <v>1409</v>
      </c>
      <c r="M17" s="535"/>
      <c r="N17" s="535" t="s">
        <v>1410</v>
      </c>
      <c r="O17" s="535"/>
      <c r="P17" s="535"/>
      <c r="Q17" s="537" t="s">
        <v>1548</v>
      </c>
      <c r="R17" s="537" t="s">
        <v>1549</v>
      </c>
      <c r="S17" s="535"/>
      <c r="T17" s="537" t="s">
        <v>2529</v>
      </c>
      <c r="U17" s="535"/>
      <c r="V17" s="536">
        <v>-1</v>
      </c>
      <c r="W17" s="535"/>
      <c r="X17" s="535"/>
      <c r="Y17" s="535"/>
      <c r="Z17" s="535"/>
      <c r="AA17" s="535"/>
      <c r="AB17" s="706" t="s">
        <v>1550</v>
      </c>
      <c r="AC17" s="1381" t="s">
        <v>1551</v>
      </c>
      <c r="AD17" s="1382"/>
      <c r="AE17" s="1382"/>
      <c r="AF17" s="1382"/>
      <c r="AG17" s="1382"/>
      <c r="AH17" s="1382"/>
      <c r="AI17" s="1382"/>
      <c r="AJ17" s="1383"/>
    </row>
    <row r="18" spans="1:36" ht="39">
      <c r="A18" s="682"/>
      <c r="B18" s="1402"/>
      <c r="C18" s="58" t="s">
        <v>1035</v>
      </c>
      <c r="D18" s="702" t="s">
        <v>2322</v>
      </c>
      <c r="E18" s="702" t="s">
        <v>2323</v>
      </c>
      <c r="F18" s="34" t="s">
        <v>2320</v>
      </c>
      <c r="G18" s="273"/>
      <c r="H18" s="682"/>
      <c r="I18" s="682"/>
      <c r="J18" s="703" t="s">
        <v>2484</v>
      </c>
      <c r="K18" s="704" t="s">
        <v>1414</v>
      </c>
      <c r="L18" s="535"/>
      <c r="M18" s="535"/>
      <c r="N18" s="535" t="s">
        <v>1410</v>
      </c>
      <c r="O18" s="535" t="s">
        <v>1552</v>
      </c>
      <c r="P18" s="535" t="s">
        <v>1553</v>
      </c>
      <c r="Q18" s="537" t="s">
        <v>1548</v>
      </c>
      <c r="R18" s="537" t="s">
        <v>1554</v>
      </c>
      <c r="S18" s="535"/>
      <c r="T18" s="537" t="s">
        <v>2529</v>
      </c>
      <c r="U18" s="535"/>
      <c r="V18" s="536">
        <v>-1</v>
      </c>
      <c r="W18" s="535"/>
      <c r="X18" s="535"/>
      <c r="Y18" s="535"/>
      <c r="Z18" s="535"/>
      <c r="AA18" s="535"/>
      <c r="AB18" s="706" t="s">
        <v>1550</v>
      </c>
      <c r="AC18" s="1381" t="s">
        <v>1555</v>
      </c>
      <c r="AD18" s="1382"/>
      <c r="AE18" s="1382"/>
      <c r="AF18" s="1382"/>
      <c r="AG18" s="1382"/>
      <c r="AH18" s="1382"/>
      <c r="AI18" s="1382"/>
      <c r="AJ18" s="1383"/>
    </row>
    <row r="19" spans="1:36" ht="19.5">
      <c r="A19" s="682"/>
      <c r="B19" s="1402"/>
      <c r="C19" s="701" t="s">
        <v>2491</v>
      </c>
      <c r="D19" s="702" t="s">
        <v>2492</v>
      </c>
      <c r="E19" s="702" t="s">
        <v>2492</v>
      </c>
      <c r="F19" s="34" t="s">
        <v>2320</v>
      </c>
      <c r="G19" s="273"/>
      <c r="H19" s="682"/>
      <c r="I19" s="682"/>
      <c r="J19" s="703" t="s">
        <v>2486</v>
      </c>
      <c r="K19" s="704" t="s">
        <v>1419</v>
      </c>
      <c r="L19" s="535" t="s">
        <v>2488</v>
      </c>
      <c r="M19" s="535"/>
      <c r="N19" s="535"/>
      <c r="O19" s="535"/>
      <c r="P19" s="535"/>
      <c r="Q19" s="535"/>
      <c r="R19" s="535"/>
      <c r="S19" s="535"/>
      <c r="T19" s="535"/>
      <c r="U19" s="535"/>
      <c r="V19" s="535"/>
      <c r="W19" s="535" t="s">
        <v>2488</v>
      </c>
      <c r="X19" s="535"/>
      <c r="Y19" s="535"/>
      <c r="Z19" s="535"/>
      <c r="AA19" s="535"/>
      <c r="AB19" s="706" t="s">
        <v>1556</v>
      </c>
      <c r="AC19" s="1404" t="s">
        <v>1557</v>
      </c>
      <c r="AD19" s="1382"/>
      <c r="AE19" s="1382"/>
      <c r="AF19" s="1382"/>
      <c r="AG19" s="1382"/>
      <c r="AH19" s="1382"/>
      <c r="AI19" s="1382"/>
      <c r="AJ19" s="1383"/>
    </row>
    <row r="20" spans="1:36" ht="19.5">
      <c r="A20" s="682"/>
      <c r="B20" s="1402"/>
      <c r="C20" s="707" t="s">
        <v>2137</v>
      </c>
      <c r="D20" s="702" t="s">
        <v>2497</v>
      </c>
      <c r="E20" s="702" t="s">
        <v>2497</v>
      </c>
      <c r="F20" s="34" t="s">
        <v>2498</v>
      </c>
      <c r="G20" s="273"/>
      <c r="H20" s="682"/>
      <c r="I20" s="682"/>
      <c r="J20" s="703" t="s">
        <v>2493</v>
      </c>
      <c r="K20" s="704" t="s">
        <v>1422</v>
      </c>
      <c r="L20" s="535"/>
      <c r="M20" s="535"/>
      <c r="N20" s="535"/>
      <c r="O20" s="535" t="s">
        <v>1494</v>
      </c>
      <c r="P20" s="535" t="s">
        <v>1495</v>
      </c>
      <c r="Q20" s="535"/>
      <c r="R20" s="535" t="s">
        <v>1558</v>
      </c>
      <c r="S20" s="535"/>
      <c r="T20" s="535"/>
      <c r="U20" s="535"/>
      <c r="V20" s="535"/>
      <c r="W20" s="535" t="s">
        <v>2488</v>
      </c>
      <c r="X20" s="535"/>
      <c r="Y20" s="535"/>
      <c r="Z20" s="535"/>
      <c r="AA20" s="535"/>
      <c r="AB20" s="706" t="s">
        <v>1556</v>
      </c>
      <c r="AC20" s="1404" t="s">
        <v>1559</v>
      </c>
      <c r="AD20" s="1382"/>
      <c r="AE20" s="1382"/>
      <c r="AF20" s="1382"/>
      <c r="AG20" s="1382"/>
      <c r="AH20" s="1382"/>
      <c r="AI20" s="1382"/>
      <c r="AJ20" s="1383"/>
    </row>
    <row r="21" spans="1:36" ht="58.5">
      <c r="A21" s="682"/>
      <c r="B21" s="1402"/>
      <c r="C21" s="701" t="s">
        <v>2335</v>
      </c>
      <c r="D21" s="702" t="s">
        <v>2501</v>
      </c>
      <c r="E21" s="702" t="s">
        <v>2337</v>
      </c>
      <c r="F21" s="34" t="s">
        <v>2293</v>
      </c>
      <c r="G21" s="273"/>
      <c r="H21" s="682"/>
      <c r="I21" s="682"/>
      <c r="J21" s="708" t="s">
        <v>2499</v>
      </c>
      <c r="K21" s="709" t="s">
        <v>1560</v>
      </c>
      <c r="L21" s="543" t="s">
        <v>1561</v>
      </c>
      <c r="M21" s="543"/>
      <c r="N21" s="543" t="s">
        <v>1562</v>
      </c>
      <c r="O21" s="543" t="s">
        <v>1563</v>
      </c>
      <c r="P21" s="543"/>
      <c r="Q21" s="543" t="s">
        <v>1538</v>
      </c>
      <c r="R21" s="544" t="s">
        <v>1564</v>
      </c>
      <c r="S21" s="543"/>
      <c r="T21" s="543"/>
      <c r="U21" s="543"/>
      <c r="V21" s="543"/>
      <c r="W21" s="543"/>
      <c r="X21" s="543"/>
      <c r="Y21" s="543"/>
      <c r="Z21" s="545"/>
      <c r="AA21" s="545">
        <v>1</v>
      </c>
      <c r="AB21" s="546" t="s">
        <v>2597</v>
      </c>
      <c r="AC21" s="1381" t="s">
        <v>1565</v>
      </c>
      <c r="AD21" s="1382"/>
      <c r="AE21" s="1382"/>
      <c r="AF21" s="1382"/>
      <c r="AG21" s="1382"/>
      <c r="AH21" s="1382"/>
      <c r="AI21" s="1382"/>
      <c r="AJ21" s="1383"/>
    </row>
    <row r="22" spans="1:36" ht="39">
      <c r="A22" s="682"/>
      <c r="B22" s="1402"/>
      <c r="C22" s="701" t="s">
        <v>2341</v>
      </c>
      <c r="D22" s="702" t="s">
        <v>2686</v>
      </c>
      <c r="E22" s="702" t="s">
        <v>2343</v>
      </c>
      <c r="F22" s="34" t="s">
        <v>2293</v>
      </c>
      <c r="G22" s="273"/>
      <c r="H22" s="682"/>
      <c r="I22" s="682"/>
      <c r="J22" s="708" t="s">
        <v>2502</v>
      </c>
      <c r="K22" s="709" t="s">
        <v>1566</v>
      </c>
      <c r="L22" s="543" t="s">
        <v>1409</v>
      </c>
      <c r="M22" s="543"/>
      <c r="N22" s="543" t="s">
        <v>1410</v>
      </c>
      <c r="O22" s="543"/>
      <c r="P22" s="543"/>
      <c r="Q22" s="544" t="s">
        <v>1548</v>
      </c>
      <c r="R22" s="544" t="s">
        <v>1567</v>
      </c>
      <c r="S22" s="543"/>
      <c r="T22" s="544" t="s">
        <v>2529</v>
      </c>
      <c r="U22" s="543"/>
      <c r="V22" s="543"/>
      <c r="W22" s="543"/>
      <c r="X22" s="543"/>
      <c r="Y22" s="543"/>
      <c r="Z22" s="545"/>
      <c r="AA22" s="545">
        <v>-1</v>
      </c>
      <c r="AB22" s="547" t="s">
        <v>1550</v>
      </c>
      <c r="AC22" s="1381" t="s">
        <v>1568</v>
      </c>
      <c r="AD22" s="1382"/>
      <c r="AE22" s="1382"/>
      <c r="AF22" s="1382"/>
      <c r="AG22" s="1382"/>
      <c r="AH22" s="1382"/>
      <c r="AI22" s="1382"/>
      <c r="AJ22" s="1383"/>
    </row>
    <row r="23" spans="1:36" ht="58.5">
      <c r="A23" s="682"/>
      <c r="B23" s="1402"/>
      <c r="C23" s="701" t="s">
        <v>2505</v>
      </c>
      <c r="D23" s="702" t="s">
        <v>2506</v>
      </c>
      <c r="E23" s="702" t="s">
        <v>2506</v>
      </c>
      <c r="F23" s="34" t="s">
        <v>2293</v>
      </c>
      <c r="G23" s="273"/>
      <c r="H23" s="682"/>
      <c r="I23" s="682"/>
      <c r="J23" s="708" t="s">
        <v>2082</v>
      </c>
      <c r="K23" s="709" t="s">
        <v>1569</v>
      </c>
      <c r="L23" s="543"/>
      <c r="M23" s="543"/>
      <c r="N23" s="543" t="s">
        <v>1410</v>
      </c>
      <c r="O23" s="543" t="s">
        <v>1552</v>
      </c>
      <c r="P23" s="543" t="s">
        <v>1553</v>
      </c>
      <c r="Q23" s="544" t="s">
        <v>1548</v>
      </c>
      <c r="R23" s="544" t="s">
        <v>1570</v>
      </c>
      <c r="S23" s="543"/>
      <c r="T23" s="544" t="s">
        <v>2529</v>
      </c>
      <c r="U23" s="543"/>
      <c r="V23" s="543"/>
      <c r="W23" s="543"/>
      <c r="X23" s="543"/>
      <c r="Y23" s="543"/>
      <c r="Z23" s="545"/>
      <c r="AA23" s="545">
        <v>-1</v>
      </c>
      <c r="AB23" s="547" t="s">
        <v>1550</v>
      </c>
      <c r="AC23" s="1381" t="s">
        <v>1571</v>
      </c>
      <c r="AD23" s="1382"/>
      <c r="AE23" s="1382"/>
      <c r="AF23" s="1382"/>
      <c r="AG23" s="1382"/>
      <c r="AH23" s="1382"/>
      <c r="AI23" s="1382"/>
      <c r="AJ23" s="1383"/>
    </row>
    <row r="24" spans="1:36" ht="58.5">
      <c r="A24" s="682"/>
      <c r="B24" s="1402"/>
      <c r="C24" s="701" t="s">
        <v>2080</v>
      </c>
      <c r="D24" s="702" t="s">
        <v>2685</v>
      </c>
      <c r="E24" s="702" t="s">
        <v>2081</v>
      </c>
      <c r="F24" s="34" t="s">
        <v>2293</v>
      </c>
      <c r="G24" s="273"/>
      <c r="H24" s="682"/>
      <c r="I24" s="682"/>
      <c r="J24" s="710" t="s">
        <v>2138</v>
      </c>
      <c r="K24" s="711" t="s">
        <v>1572</v>
      </c>
      <c r="L24" s="712"/>
      <c r="M24" s="713">
        <v>-1</v>
      </c>
      <c r="N24" s="714" t="s">
        <v>2690</v>
      </c>
      <c r="O24" s="713"/>
      <c r="P24" s="713"/>
      <c r="Q24" s="714" t="s">
        <v>1573</v>
      </c>
      <c r="R24" s="715" t="s">
        <v>1574</v>
      </c>
      <c r="S24" s="713"/>
      <c r="T24" s="713"/>
      <c r="U24" s="713"/>
      <c r="V24" s="713"/>
      <c r="W24" s="713"/>
      <c r="X24" s="713"/>
      <c r="Y24" s="713" t="s">
        <v>577</v>
      </c>
      <c r="Z24" s="713">
        <v>1</v>
      </c>
      <c r="AA24" s="713"/>
      <c r="AB24" s="716" t="s">
        <v>578</v>
      </c>
      <c r="AC24" s="1381" t="s">
        <v>579</v>
      </c>
      <c r="AD24" s="1382"/>
      <c r="AE24" s="1382"/>
      <c r="AF24" s="1382"/>
      <c r="AG24" s="1382"/>
      <c r="AH24" s="1382"/>
      <c r="AI24" s="1382"/>
      <c r="AJ24" s="1383"/>
    </row>
    <row r="25" spans="1:36" ht="54">
      <c r="A25" s="682"/>
      <c r="B25" s="1402"/>
      <c r="C25" s="701" t="s">
        <v>2139</v>
      </c>
      <c r="D25" s="702" t="s">
        <v>2508</v>
      </c>
      <c r="E25" s="702" t="s">
        <v>2509</v>
      </c>
      <c r="F25" s="34" t="s">
        <v>2293</v>
      </c>
      <c r="G25" s="273"/>
      <c r="H25" s="682"/>
      <c r="I25" s="682"/>
      <c r="J25" s="710" t="s">
        <v>2140</v>
      </c>
      <c r="K25" s="711" t="s">
        <v>580</v>
      </c>
      <c r="L25" s="713" t="s">
        <v>581</v>
      </c>
      <c r="M25" s="713"/>
      <c r="N25" s="713"/>
      <c r="O25" s="713"/>
      <c r="P25" s="713"/>
      <c r="Q25" s="713">
        <v>-1</v>
      </c>
      <c r="R25" s="715" t="s">
        <v>582</v>
      </c>
      <c r="S25" s="713"/>
      <c r="T25" s="713"/>
      <c r="U25" s="713"/>
      <c r="V25" s="713"/>
      <c r="W25" s="713"/>
      <c r="X25" s="713"/>
      <c r="Y25" s="713">
        <v>1</v>
      </c>
      <c r="Z25" s="713" t="s">
        <v>581</v>
      </c>
      <c r="AA25" s="713"/>
      <c r="AB25" s="717" t="s">
        <v>583</v>
      </c>
      <c r="AC25" s="1381" t="s">
        <v>584</v>
      </c>
      <c r="AD25" s="1382"/>
      <c r="AE25" s="1382"/>
      <c r="AF25" s="1382"/>
      <c r="AG25" s="1382"/>
      <c r="AH25" s="1382"/>
      <c r="AI25" s="1382"/>
      <c r="AJ25" s="1383"/>
    </row>
    <row r="26" spans="1:36" ht="58.5">
      <c r="A26" s="682"/>
      <c r="B26" s="1402"/>
      <c r="C26" s="701" t="s">
        <v>2510</v>
      </c>
      <c r="D26" s="702" t="s">
        <v>2511</v>
      </c>
      <c r="E26" s="702" t="s">
        <v>2512</v>
      </c>
      <c r="F26" s="34" t="s">
        <v>2498</v>
      </c>
      <c r="G26" s="273"/>
      <c r="H26" s="682"/>
      <c r="I26" s="682"/>
      <c r="J26" s="710" t="s">
        <v>2141</v>
      </c>
      <c r="K26" s="711" t="s">
        <v>585</v>
      </c>
      <c r="L26" s="713"/>
      <c r="M26" s="713"/>
      <c r="N26" s="713"/>
      <c r="O26" s="713" t="s">
        <v>586</v>
      </c>
      <c r="P26" s="714" t="s">
        <v>587</v>
      </c>
      <c r="Q26" s="713">
        <v>-1</v>
      </c>
      <c r="R26" s="715" t="s">
        <v>588</v>
      </c>
      <c r="S26" s="713"/>
      <c r="T26" s="713"/>
      <c r="U26" s="713"/>
      <c r="V26" s="713"/>
      <c r="W26" s="713"/>
      <c r="X26" s="713"/>
      <c r="Y26" s="713">
        <v>1</v>
      </c>
      <c r="Z26" s="713" t="s">
        <v>581</v>
      </c>
      <c r="AA26" s="713"/>
      <c r="AB26" s="717" t="s">
        <v>583</v>
      </c>
      <c r="AC26" s="1381" t="s">
        <v>589</v>
      </c>
      <c r="AD26" s="1382"/>
      <c r="AE26" s="1382"/>
      <c r="AF26" s="1382"/>
      <c r="AG26" s="1382"/>
      <c r="AH26" s="1382"/>
      <c r="AI26" s="1382"/>
      <c r="AJ26" s="1383"/>
    </row>
    <row r="27" spans="1:36" ht="54">
      <c r="A27" s="682"/>
      <c r="B27" s="1402"/>
      <c r="C27" s="701" t="s">
        <v>1037</v>
      </c>
      <c r="D27" s="702" t="s">
        <v>2132</v>
      </c>
      <c r="E27" s="702" t="s">
        <v>2348</v>
      </c>
      <c r="F27" s="34" t="s">
        <v>1038</v>
      </c>
      <c r="G27" s="273"/>
      <c r="H27" s="682"/>
      <c r="I27" s="682"/>
      <c r="J27" s="710" t="s">
        <v>2142</v>
      </c>
      <c r="K27" s="711" t="s">
        <v>590</v>
      </c>
      <c r="L27" s="713" t="s">
        <v>591</v>
      </c>
      <c r="M27" s="713"/>
      <c r="N27" s="713" t="s">
        <v>1396</v>
      </c>
      <c r="O27" s="713"/>
      <c r="P27" s="713"/>
      <c r="Q27" s="713" t="s">
        <v>1538</v>
      </c>
      <c r="R27" s="715" t="s">
        <v>592</v>
      </c>
      <c r="S27" s="713"/>
      <c r="T27" s="713"/>
      <c r="U27" s="713"/>
      <c r="V27" s="713"/>
      <c r="W27" s="713"/>
      <c r="X27" s="713">
        <v>1</v>
      </c>
      <c r="Y27" s="713"/>
      <c r="Z27" s="718" t="s">
        <v>593</v>
      </c>
      <c r="AA27" s="713"/>
      <c r="AB27" s="717" t="s">
        <v>594</v>
      </c>
      <c r="AC27" s="1381" t="s">
        <v>595</v>
      </c>
      <c r="AD27" s="1382"/>
      <c r="AE27" s="1382"/>
      <c r="AF27" s="1382"/>
      <c r="AG27" s="1382"/>
      <c r="AH27" s="1382"/>
      <c r="AI27" s="1382"/>
      <c r="AJ27" s="1383"/>
    </row>
    <row r="28" spans="1:36" ht="74.25" thickBot="1">
      <c r="A28" s="682"/>
      <c r="B28" s="1403"/>
      <c r="C28" s="719" t="s">
        <v>2519</v>
      </c>
      <c r="D28" s="78" t="s">
        <v>2687</v>
      </c>
      <c r="E28" s="78" t="s">
        <v>2520</v>
      </c>
      <c r="F28" s="79" t="s">
        <v>2515</v>
      </c>
      <c r="G28" s="308"/>
      <c r="H28" s="682"/>
      <c r="I28" s="682"/>
      <c r="J28" s="710" t="s">
        <v>2143</v>
      </c>
      <c r="K28" s="711" t="s">
        <v>596</v>
      </c>
      <c r="L28" s="713"/>
      <c r="M28" s="713"/>
      <c r="N28" s="713" t="s">
        <v>1396</v>
      </c>
      <c r="O28" s="720" t="s">
        <v>597</v>
      </c>
      <c r="P28" s="720" t="s">
        <v>598</v>
      </c>
      <c r="Q28" s="713" t="s">
        <v>1538</v>
      </c>
      <c r="R28" s="715" t="s">
        <v>599</v>
      </c>
      <c r="S28" s="713"/>
      <c r="T28" s="713"/>
      <c r="U28" s="713"/>
      <c r="V28" s="713"/>
      <c r="W28" s="713"/>
      <c r="X28" s="713">
        <v>1</v>
      </c>
      <c r="Y28" s="713"/>
      <c r="Z28" s="713" t="s">
        <v>600</v>
      </c>
      <c r="AA28" s="713"/>
      <c r="AB28" s="717" t="s">
        <v>601</v>
      </c>
      <c r="AC28" s="1381" t="s">
        <v>602</v>
      </c>
      <c r="AD28" s="1382"/>
      <c r="AE28" s="1382"/>
      <c r="AF28" s="1382"/>
      <c r="AG28" s="1382"/>
      <c r="AH28" s="1382"/>
      <c r="AI28" s="1382"/>
      <c r="AJ28" s="1383"/>
    </row>
    <row r="29" spans="1:36" ht="39">
      <c r="A29" s="682"/>
      <c r="B29" s="1401" t="s">
        <v>2144</v>
      </c>
      <c r="C29" s="721" t="s">
        <v>2521</v>
      </c>
      <c r="D29" s="722" t="s">
        <v>2522</v>
      </c>
      <c r="E29" s="722" t="s">
        <v>2523</v>
      </c>
      <c r="F29" s="723" t="s">
        <v>1192</v>
      </c>
      <c r="G29" s="313">
        <v>0</v>
      </c>
      <c r="H29" s="682"/>
      <c r="I29" s="682"/>
      <c r="J29" s="710" t="s">
        <v>2145</v>
      </c>
      <c r="K29" s="711" t="s">
        <v>603</v>
      </c>
      <c r="L29" s="713" t="s">
        <v>1409</v>
      </c>
      <c r="M29" s="713"/>
      <c r="N29" s="713" t="s">
        <v>1410</v>
      </c>
      <c r="O29" s="713"/>
      <c r="P29" s="713"/>
      <c r="Q29" s="713" t="s">
        <v>604</v>
      </c>
      <c r="R29" s="715" t="s">
        <v>605</v>
      </c>
      <c r="S29" s="713"/>
      <c r="T29" s="714" t="s">
        <v>2529</v>
      </c>
      <c r="U29" s="713"/>
      <c r="V29" s="713"/>
      <c r="W29" s="713"/>
      <c r="X29" s="713">
        <v>-1</v>
      </c>
      <c r="Y29" s="713"/>
      <c r="Z29" s="713"/>
      <c r="AA29" s="713"/>
      <c r="AB29" s="717" t="s">
        <v>1550</v>
      </c>
      <c r="AC29" s="1381" t="s">
        <v>606</v>
      </c>
      <c r="AD29" s="1382"/>
      <c r="AE29" s="1382"/>
      <c r="AF29" s="1382"/>
      <c r="AG29" s="1382"/>
      <c r="AH29" s="1382"/>
      <c r="AI29" s="1382"/>
      <c r="AJ29" s="1383"/>
    </row>
    <row r="30" spans="1:36" ht="58.5">
      <c r="A30" s="682"/>
      <c r="B30" s="1402"/>
      <c r="C30" s="565" t="s">
        <v>1437</v>
      </c>
      <c r="D30" s="404" t="s">
        <v>2083</v>
      </c>
      <c r="E30" s="404" t="s">
        <v>2084</v>
      </c>
      <c r="F30" s="724" t="s">
        <v>1438</v>
      </c>
      <c r="G30" s="322">
        <v>0.8</v>
      </c>
      <c r="H30" s="683"/>
      <c r="I30" s="683"/>
      <c r="J30" s="710" t="s">
        <v>2146</v>
      </c>
      <c r="K30" s="711" t="s">
        <v>607</v>
      </c>
      <c r="L30" s="713"/>
      <c r="M30" s="713"/>
      <c r="N30" s="713" t="s">
        <v>1410</v>
      </c>
      <c r="O30" s="713" t="s">
        <v>608</v>
      </c>
      <c r="P30" s="713" t="s">
        <v>609</v>
      </c>
      <c r="Q30" s="713" t="s">
        <v>604</v>
      </c>
      <c r="R30" s="715" t="s">
        <v>610</v>
      </c>
      <c r="S30" s="713"/>
      <c r="T30" s="714" t="s">
        <v>2529</v>
      </c>
      <c r="U30" s="713"/>
      <c r="V30" s="713"/>
      <c r="W30" s="713"/>
      <c r="X30" s="713">
        <v>-1</v>
      </c>
      <c r="Y30" s="713"/>
      <c r="Z30" s="713"/>
      <c r="AA30" s="713"/>
      <c r="AB30" s="717" t="s">
        <v>1550</v>
      </c>
      <c r="AC30" s="1381" t="s">
        <v>611</v>
      </c>
      <c r="AD30" s="1382"/>
      <c r="AE30" s="1382"/>
      <c r="AF30" s="1382"/>
      <c r="AG30" s="1382"/>
      <c r="AH30" s="1382"/>
      <c r="AI30" s="1382"/>
      <c r="AJ30" s="1383"/>
    </row>
    <row r="31" spans="1:36" ht="39">
      <c r="A31" s="682"/>
      <c r="B31" s="1402"/>
      <c r="C31" s="565" t="s">
        <v>1439</v>
      </c>
      <c r="D31" s="404" t="s">
        <v>2147</v>
      </c>
      <c r="E31" s="404" t="s">
        <v>2086</v>
      </c>
      <c r="F31" s="724" t="s">
        <v>1438</v>
      </c>
      <c r="G31" s="322">
        <v>0.65</v>
      </c>
      <c r="H31" s="683"/>
      <c r="I31" s="683"/>
      <c r="J31" s="710" t="s">
        <v>2148</v>
      </c>
      <c r="K31" s="711" t="s">
        <v>612</v>
      </c>
      <c r="L31" s="713"/>
      <c r="M31" s="713"/>
      <c r="N31" s="713"/>
      <c r="O31" s="713"/>
      <c r="P31" s="713"/>
      <c r="Q31" s="713">
        <v>1</v>
      </c>
      <c r="R31" s="715" t="s">
        <v>613</v>
      </c>
      <c r="S31" s="713"/>
      <c r="T31" s="713"/>
      <c r="U31" s="713"/>
      <c r="V31" s="713"/>
      <c r="W31" s="713"/>
      <c r="X31" s="713"/>
      <c r="Y31" s="713">
        <v>-1</v>
      </c>
      <c r="Z31" s="713"/>
      <c r="AA31" s="713"/>
      <c r="AB31" s="717" t="s">
        <v>614</v>
      </c>
      <c r="AC31" s="1381" t="s">
        <v>615</v>
      </c>
      <c r="AD31" s="1382"/>
      <c r="AE31" s="1382"/>
      <c r="AF31" s="1382"/>
      <c r="AG31" s="1382"/>
      <c r="AH31" s="1382"/>
      <c r="AI31" s="1382"/>
      <c r="AJ31" s="1383"/>
    </row>
    <row r="32" spans="1:36" ht="39">
      <c r="A32" s="682"/>
      <c r="B32" s="1402"/>
      <c r="C32" s="565" t="s">
        <v>1440</v>
      </c>
      <c r="D32" s="404" t="s">
        <v>2691</v>
      </c>
      <c r="E32" s="404" t="s">
        <v>2087</v>
      </c>
      <c r="F32" s="724" t="s">
        <v>1441</v>
      </c>
      <c r="G32" s="322">
        <v>0.8</v>
      </c>
      <c r="H32" s="725"/>
      <c r="I32" s="725"/>
      <c r="J32" s="710" t="s">
        <v>2149</v>
      </c>
      <c r="K32" s="711" t="s">
        <v>616</v>
      </c>
      <c r="L32" s="713"/>
      <c r="M32" s="713"/>
      <c r="N32" s="713"/>
      <c r="O32" s="713"/>
      <c r="P32" s="713"/>
      <c r="Q32" s="713">
        <v>1</v>
      </c>
      <c r="R32" s="715" t="s">
        <v>613</v>
      </c>
      <c r="S32" s="713"/>
      <c r="T32" s="713"/>
      <c r="U32" s="713"/>
      <c r="V32" s="713"/>
      <c r="W32" s="713"/>
      <c r="X32" s="713"/>
      <c r="Y32" s="713">
        <v>-1</v>
      </c>
      <c r="Z32" s="713"/>
      <c r="AA32" s="713"/>
      <c r="AB32" s="717" t="s">
        <v>614</v>
      </c>
      <c r="AC32" s="1381" t="s">
        <v>617</v>
      </c>
      <c r="AD32" s="1382"/>
      <c r="AE32" s="1382"/>
      <c r="AF32" s="1382"/>
      <c r="AG32" s="1382"/>
      <c r="AH32" s="1382"/>
      <c r="AI32" s="1382"/>
      <c r="AJ32" s="1383"/>
    </row>
    <row r="33" spans="1:36" ht="19.5">
      <c r="A33" s="682"/>
      <c r="B33" s="1402"/>
      <c r="C33" s="565" t="s">
        <v>1442</v>
      </c>
      <c r="D33" s="404" t="s">
        <v>2136</v>
      </c>
      <c r="E33" s="404" t="s">
        <v>2091</v>
      </c>
      <c r="F33" s="724" t="s">
        <v>1441</v>
      </c>
      <c r="G33" s="322">
        <v>0.7</v>
      </c>
      <c r="H33" s="683"/>
      <c r="I33" s="683"/>
      <c r="J33" s="710" t="s">
        <v>2150</v>
      </c>
      <c r="K33" s="711" t="s">
        <v>618</v>
      </c>
      <c r="L33" s="713">
        <v>-1</v>
      </c>
      <c r="M33" s="713"/>
      <c r="N33" s="713"/>
      <c r="O33" s="713"/>
      <c r="P33" s="713"/>
      <c r="Q33" s="713"/>
      <c r="R33" s="726"/>
      <c r="S33" s="713"/>
      <c r="T33" s="713"/>
      <c r="U33" s="713"/>
      <c r="V33" s="713"/>
      <c r="W33" s="713"/>
      <c r="X33" s="713"/>
      <c r="Y33" s="713"/>
      <c r="Z33" s="713">
        <v>-1</v>
      </c>
      <c r="AA33" s="713"/>
      <c r="AB33" s="717" t="s">
        <v>1556</v>
      </c>
      <c r="AC33" s="1381" t="s">
        <v>619</v>
      </c>
      <c r="AD33" s="1382"/>
      <c r="AE33" s="1382"/>
      <c r="AF33" s="1382"/>
      <c r="AG33" s="1382"/>
      <c r="AH33" s="1382"/>
      <c r="AI33" s="1382"/>
      <c r="AJ33" s="1383"/>
    </row>
    <row r="34" spans="1:36" ht="20.25" thickBot="1">
      <c r="A34" s="682"/>
      <c r="B34" s="1402"/>
      <c r="C34" s="575" t="s">
        <v>620</v>
      </c>
      <c r="D34" s="727" t="s">
        <v>2529</v>
      </c>
      <c r="E34" s="727" t="s">
        <v>2352</v>
      </c>
      <c r="F34" s="89" t="s">
        <v>1202</v>
      </c>
      <c r="G34" s="331">
        <v>0.2</v>
      </c>
      <c r="H34" s="683"/>
      <c r="I34" s="683"/>
      <c r="J34" s="728" t="s">
        <v>2151</v>
      </c>
      <c r="K34" s="729" t="s">
        <v>621</v>
      </c>
      <c r="L34" s="730"/>
      <c r="M34" s="730"/>
      <c r="N34" s="730"/>
      <c r="O34" s="730" t="s">
        <v>622</v>
      </c>
      <c r="P34" s="730" t="s">
        <v>623</v>
      </c>
      <c r="Q34" s="730"/>
      <c r="R34" s="731" t="s">
        <v>624</v>
      </c>
      <c r="S34" s="730"/>
      <c r="T34" s="730"/>
      <c r="U34" s="730"/>
      <c r="V34" s="730"/>
      <c r="W34" s="730"/>
      <c r="X34" s="730"/>
      <c r="Y34" s="730"/>
      <c r="Z34" s="730">
        <v>-1</v>
      </c>
      <c r="AA34" s="730"/>
      <c r="AB34" s="732" t="s">
        <v>1556</v>
      </c>
      <c r="AC34" s="1384" t="s">
        <v>625</v>
      </c>
      <c r="AD34" s="1385"/>
      <c r="AE34" s="1385"/>
      <c r="AF34" s="1385"/>
      <c r="AG34" s="1385"/>
      <c r="AH34" s="1385"/>
      <c r="AI34" s="1385"/>
      <c r="AJ34" s="1386"/>
    </row>
    <row r="35" spans="1:36" ht="20.25" thickBot="1">
      <c r="A35" s="682"/>
      <c r="B35" s="1402"/>
      <c r="C35" s="427" t="s">
        <v>626</v>
      </c>
      <c r="D35" s="428" t="s">
        <v>2152</v>
      </c>
      <c r="E35" s="428" t="s">
        <v>2153</v>
      </c>
      <c r="F35" s="733" t="s">
        <v>1204</v>
      </c>
      <c r="G35" s="338">
        <v>0.6</v>
      </c>
      <c r="H35" s="683"/>
      <c r="I35" s="683"/>
      <c r="J35" s="734"/>
      <c r="K35" s="1390" t="s">
        <v>2328</v>
      </c>
      <c r="L35" s="1391"/>
      <c r="M35" s="1391"/>
      <c r="N35" s="1391"/>
      <c r="O35" s="1391"/>
      <c r="P35" s="1391"/>
      <c r="Q35" s="1391"/>
      <c r="R35" s="1391"/>
      <c r="S35" s="1391"/>
      <c r="T35" s="1391"/>
      <c r="U35" s="1391"/>
      <c r="V35" s="1391"/>
      <c r="W35" s="1391"/>
      <c r="X35" s="1391"/>
      <c r="Y35" s="1391"/>
      <c r="Z35" s="1391"/>
      <c r="AA35" s="1391"/>
      <c r="AB35" s="1392"/>
      <c r="AC35" s="734"/>
      <c r="AD35" s="734"/>
      <c r="AE35" s="734"/>
      <c r="AF35" s="734"/>
      <c r="AG35" s="734"/>
      <c r="AH35" s="734"/>
      <c r="AI35" s="735"/>
      <c r="AJ35" s="736"/>
    </row>
    <row r="36" spans="1:36" ht="19.5">
      <c r="A36" s="682"/>
      <c r="B36" s="1402"/>
      <c r="C36" s="427" t="s">
        <v>627</v>
      </c>
      <c r="D36" s="428" t="s">
        <v>2154</v>
      </c>
      <c r="E36" s="428" t="s">
        <v>2155</v>
      </c>
      <c r="F36" s="733" t="s">
        <v>1204</v>
      </c>
      <c r="G36" s="338">
        <v>0.5</v>
      </c>
      <c r="H36" s="683"/>
      <c r="I36" s="683"/>
      <c r="J36" s="734"/>
      <c r="K36" s="737" t="s">
        <v>2332</v>
      </c>
      <c r="L36" s="738">
        <v>-1</v>
      </c>
      <c r="M36" s="738">
        <v>1</v>
      </c>
      <c r="N36" s="738"/>
      <c r="O36" s="739" t="s">
        <v>2376</v>
      </c>
      <c r="P36" s="739" t="s">
        <v>2377</v>
      </c>
      <c r="Q36" s="738"/>
      <c r="R36" s="738"/>
      <c r="S36" s="738">
        <v>1</v>
      </c>
      <c r="T36" s="738">
        <v>1</v>
      </c>
      <c r="U36" s="738">
        <v>1</v>
      </c>
      <c r="V36" s="738">
        <v>1</v>
      </c>
      <c r="W36" s="738">
        <v>1</v>
      </c>
      <c r="X36" s="738">
        <v>1</v>
      </c>
      <c r="Y36" s="738"/>
      <c r="Z36" s="738">
        <v>1</v>
      </c>
      <c r="AA36" s="738">
        <v>1</v>
      </c>
      <c r="AB36" s="740"/>
      <c r="AC36" s="734"/>
      <c r="AD36" s="734"/>
      <c r="AE36" s="734"/>
      <c r="AF36" s="734"/>
      <c r="AG36" s="734"/>
      <c r="AH36" s="734"/>
      <c r="AI36" s="735"/>
      <c r="AJ36" s="736"/>
    </row>
    <row r="37" spans="1:36" ht="19.5">
      <c r="A37" s="682"/>
      <c r="B37" s="1402"/>
      <c r="C37" s="427" t="s">
        <v>1205</v>
      </c>
      <c r="D37" s="428" t="s">
        <v>2532</v>
      </c>
      <c r="E37" s="428" t="s">
        <v>2533</v>
      </c>
      <c r="F37" s="733" t="s">
        <v>1206</v>
      </c>
      <c r="G37" s="338">
        <v>0.2</v>
      </c>
      <c r="H37" s="741"/>
      <c r="I37" s="741"/>
      <c r="J37" s="734"/>
      <c r="K37" s="742" t="s">
        <v>2338</v>
      </c>
      <c r="L37" s="743"/>
      <c r="M37" s="744" t="s">
        <v>2690</v>
      </c>
      <c r="N37" s="743">
        <v>1</v>
      </c>
      <c r="O37" s="743">
        <v>1</v>
      </c>
      <c r="P37" s="743">
        <v>1</v>
      </c>
      <c r="Q37" s="743"/>
      <c r="R37" s="743"/>
      <c r="S37" s="744" t="s">
        <v>2568</v>
      </c>
      <c r="T37" s="744" t="s">
        <v>2570</v>
      </c>
      <c r="U37" s="744" t="s">
        <v>2572</v>
      </c>
      <c r="V37" s="744" t="s">
        <v>2576</v>
      </c>
      <c r="W37" s="743"/>
      <c r="X37" s="744" t="s">
        <v>2576</v>
      </c>
      <c r="Y37" s="743"/>
      <c r="Z37" s="743"/>
      <c r="AA37" s="744" t="s">
        <v>2576</v>
      </c>
      <c r="AB37" s="745"/>
      <c r="AC37" s="734"/>
      <c r="AD37" s="734"/>
      <c r="AE37" s="734"/>
      <c r="AF37" s="734"/>
      <c r="AG37" s="734"/>
      <c r="AH37" s="734"/>
      <c r="AI37" s="735"/>
      <c r="AJ37" s="736"/>
    </row>
    <row r="38" spans="1:36" ht="19.5">
      <c r="A38" s="682"/>
      <c r="B38" s="1402"/>
      <c r="C38" s="427" t="s">
        <v>1207</v>
      </c>
      <c r="D38" s="428" t="s">
        <v>2538</v>
      </c>
      <c r="E38" s="428" t="s">
        <v>2539</v>
      </c>
      <c r="F38" s="733" t="s">
        <v>1208</v>
      </c>
      <c r="G38" s="338">
        <v>0.35</v>
      </c>
      <c r="H38" s="741"/>
      <c r="I38" s="741"/>
      <c r="J38" s="734"/>
      <c r="K38" s="742" t="s">
        <v>2540</v>
      </c>
      <c r="L38" s="743"/>
      <c r="M38" s="744" t="s">
        <v>2135</v>
      </c>
      <c r="N38" s="743"/>
      <c r="O38" s="743"/>
      <c r="P38" s="743"/>
      <c r="Q38" s="743">
        <v>1</v>
      </c>
      <c r="R38" s="743"/>
      <c r="S38" s="744" t="s">
        <v>2581</v>
      </c>
      <c r="T38" s="744" t="s">
        <v>2583</v>
      </c>
      <c r="U38" s="744" t="s">
        <v>2585</v>
      </c>
      <c r="V38" s="744" t="s">
        <v>2587</v>
      </c>
      <c r="W38" s="743"/>
      <c r="X38" s="744" t="s">
        <v>2587</v>
      </c>
      <c r="Y38" s="743">
        <v>1</v>
      </c>
      <c r="Z38" s="743"/>
      <c r="AA38" s="744" t="s">
        <v>2587</v>
      </c>
      <c r="AB38" s="745"/>
      <c r="AC38" s="734"/>
      <c r="AD38" s="734"/>
      <c r="AE38" s="734"/>
      <c r="AF38" s="734"/>
      <c r="AG38" s="734"/>
      <c r="AH38" s="734"/>
      <c r="AI38" s="735"/>
      <c r="AJ38" s="736"/>
    </row>
    <row r="39" spans="1:36" ht="39">
      <c r="A39" s="682"/>
      <c r="B39" s="1402"/>
      <c r="C39" s="746" t="s">
        <v>628</v>
      </c>
      <c r="D39" s="428" t="s">
        <v>2522</v>
      </c>
      <c r="E39" s="428" t="s">
        <v>2156</v>
      </c>
      <c r="F39" s="733" t="s">
        <v>629</v>
      </c>
      <c r="G39" s="338">
        <v>0</v>
      </c>
      <c r="H39" s="741"/>
      <c r="I39" s="741"/>
      <c r="J39" s="734"/>
      <c r="K39" s="742" t="s">
        <v>2344</v>
      </c>
      <c r="L39" s="743"/>
      <c r="M39" s="743"/>
      <c r="N39" s="747" t="s">
        <v>2317</v>
      </c>
      <c r="O39" s="747" t="s">
        <v>2379</v>
      </c>
      <c r="P39" s="748"/>
      <c r="Q39" s="747" t="s">
        <v>2562</v>
      </c>
      <c r="R39" s="743">
        <v>-1</v>
      </c>
      <c r="S39" s="743"/>
      <c r="T39" s="743"/>
      <c r="U39" s="743"/>
      <c r="V39" s="743"/>
      <c r="W39" s="743"/>
      <c r="X39" s="743"/>
      <c r="Y39" s="749" t="s">
        <v>2564</v>
      </c>
      <c r="Z39" s="743"/>
      <c r="AA39" s="743"/>
      <c r="AB39" s="745"/>
      <c r="AC39" s="734"/>
      <c r="AD39" s="734"/>
      <c r="AE39" s="734"/>
      <c r="AF39" s="734"/>
      <c r="AG39" s="734"/>
      <c r="AH39" s="734"/>
      <c r="AI39" s="735"/>
      <c r="AJ39" s="736"/>
    </row>
    <row r="40" spans="1:36" ht="20.25" thickBot="1">
      <c r="A40" s="682"/>
      <c r="B40" s="1402"/>
      <c r="C40" s="610" t="s">
        <v>1209</v>
      </c>
      <c r="D40" s="459" t="s">
        <v>2157</v>
      </c>
      <c r="E40" s="459" t="s">
        <v>2355</v>
      </c>
      <c r="F40" s="94" t="s">
        <v>1210</v>
      </c>
      <c r="G40" s="153">
        <v>0.24</v>
      </c>
      <c r="H40" s="741"/>
      <c r="I40" s="741"/>
      <c r="J40" s="734"/>
      <c r="K40" s="750" t="s">
        <v>2548</v>
      </c>
      <c r="L40" s="751"/>
      <c r="M40" s="751"/>
      <c r="N40" s="751"/>
      <c r="O40" s="751"/>
      <c r="P40" s="751"/>
      <c r="Q40" s="751"/>
      <c r="R40" s="751"/>
      <c r="S40" s="751"/>
      <c r="T40" s="752" t="s">
        <v>2590</v>
      </c>
      <c r="U40" s="752" t="s">
        <v>2592</v>
      </c>
      <c r="V40" s="752" t="s">
        <v>2597</v>
      </c>
      <c r="W40" s="752" t="s">
        <v>2158</v>
      </c>
      <c r="X40" s="752" t="s">
        <v>2597</v>
      </c>
      <c r="Y40" s="752" t="s">
        <v>2599</v>
      </c>
      <c r="Z40" s="752" t="s">
        <v>2158</v>
      </c>
      <c r="AA40" s="752" t="s">
        <v>2597</v>
      </c>
      <c r="AB40" s="753">
        <v>-1</v>
      </c>
      <c r="AC40" s="734"/>
      <c r="AD40" s="734"/>
      <c r="AE40" s="734"/>
      <c r="AF40" s="734"/>
      <c r="AG40" s="734"/>
      <c r="AH40" s="734"/>
      <c r="AI40" s="735"/>
      <c r="AJ40" s="736"/>
    </row>
    <row r="41" spans="1:36" ht="19.5">
      <c r="A41" s="682"/>
      <c r="B41" s="1402"/>
      <c r="C41" s="754" t="s">
        <v>1444</v>
      </c>
      <c r="D41" s="370" t="s">
        <v>2690</v>
      </c>
      <c r="E41" s="370" t="s">
        <v>2093</v>
      </c>
      <c r="F41" s="755" t="s">
        <v>1445</v>
      </c>
      <c r="G41" s="371">
        <v>0.03</v>
      </c>
      <c r="H41" s="741"/>
      <c r="I41" s="741"/>
      <c r="J41" s="756"/>
      <c r="K41" s="756"/>
      <c r="L41" s="756"/>
      <c r="M41" s="756"/>
      <c r="N41" s="756"/>
      <c r="O41" s="756"/>
      <c r="P41" s="756"/>
      <c r="Q41" s="756"/>
      <c r="R41" s="756"/>
      <c r="S41" s="756"/>
      <c r="T41" s="756"/>
      <c r="U41" s="756"/>
      <c r="V41" s="756"/>
      <c r="W41" s="756"/>
      <c r="X41" s="756"/>
      <c r="Y41" s="756"/>
      <c r="Z41" s="756"/>
      <c r="AA41" s="756"/>
      <c r="AB41" s="756"/>
      <c r="AC41" s="756"/>
      <c r="AD41" s="756"/>
      <c r="AE41" s="756"/>
      <c r="AF41" s="756"/>
      <c r="AG41" s="756"/>
      <c r="AH41" s="756"/>
      <c r="AI41" s="757"/>
      <c r="AJ41" s="758"/>
    </row>
    <row r="42" spans="1:36" ht="20.25" thickBot="1">
      <c r="A42" s="682"/>
      <c r="B42" s="1402"/>
      <c r="C42" s="754" t="s">
        <v>1240</v>
      </c>
      <c r="D42" s="370" t="s">
        <v>2568</v>
      </c>
      <c r="E42" s="370" t="s">
        <v>2569</v>
      </c>
      <c r="F42" s="755" t="s">
        <v>1241</v>
      </c>
      <c r="G42" s="371">
        <v>0.01</v>
      </c>
      <c r="H42" s="741"/>
      <c r="I42" s="741"/>
      <c r="J42" s="756"/>
      <c r="K42" s="756"/>
      <c r="L42" s="756"/>
      <c r="M42" s="756"/>
      <c r="N42" s="756"/>
      <c r="O42" s="756"/>
      <c r="P42" s="756"/>
      <c r="Q42" s="756"/>
      <c r="R42" s="756"/>
      <c r="S42" s="756"/>
      <c r="T42" s="756"/>
      <c r="U42" s="756"/>
      <c r="V42" s="756"/>
      <c r="W42" s="756"/>
      <c r="X42" s="756"/>
      <c r="Y42" s="756"/>
      <c r="Z42" s="756"/>
      <c r="AA42" s="756"/>
      <c r="AB42" s="756"/>
      <c r="AC42" s="756"/>
      <c r="AD42" s="756"/>
      <c r="AE42" s="756"/>
      <c r="AF42" s="756"/>
      <c r="AG42" s="756"/>
      <c r="AH42" s="756"/>
      <c r="AI42" s="757"/>
      <c r="AJ42" s="758"/>
    </row>
    <row r="43" spans="1:36" ht="30.75" thickBot="1">
      <c r="A43" s="682"/>
      <c r="B43" s="1402"/>
      <c r="C43" s="754" t="s">
        <v>1246</v>
      </c>
      <c r="D43" s="370" t="s">
        <v>2570</v>
      </c>
      <c r="E43" s="370" t="s">
        <v>2571</v>
      </c>
      <c r="F43" s="755" t="s">
        <v>1247</v>
      </c>
      <c r="G43" s="371">
        <v>0.03</v>
      </c>
      <c r="H43" s="741"/>
      <c r="I43" s="741"/>
      <c r="J43" s="1405" t="s">
        <v>2353</v>
      </c>
      <c r="K43" s="1406"/>
      <c r="L43" s="1406"/>
      <c r="M43" s="1406"/>
      <c r="N43" s="1406"/>
      <c r="O43" s="1406"/>
      <c r="P43" s="1406"/>
      <c r="Q43" s="1406"/>
      <c r="R43" s="1406"/>
      <c r="S43" s="1406"/>
      <c r="T43" s="1406"/>
      <c r="U43" s="1406"/>
      <c r="V43" s="1406"/>
      <c r="W43" s="1406"/>
      <c r="X43" s="1406"/>
      <c r="Y43" s="1406"/>
      <c r="Z43" s="1406"/>
      <c r="AA43" s="1406"/>
      <c r="AB43" s="1406"/>
      <c r="AC43" s="1406"/>
      <c r="AD43" s="1406"/>
      <c r="AE43" s="1406"/>
      <c r="AF43" s="1406"/>
      <c r="AG43" s="1406"/>
      <c r="AH43" s="1406"/>
      <c r="AI43" s="1406"/>
      <c r="AJ43" s="1407"/>
    </row>
    <row r="44" spans="1:36" ht="20.25" thickBot="1">
      <c r="A44" s="682"/>
      <c r="B44" s="1402"/>
      <c r="C44" s="754" t="s">
        <v>1251</v>
      </c>
      <c r="D44" s="370" t="s">
        <v>2572</v>
      </c>
      <c r="E44" s="370" t="s">
        <v>2573</v>
      </c>
      <c r="F44" s="755" t="s">
        <v>1252</v>
      </c>
      <c r="G44" s="371">
        <v>0.035</v>
      </c>
      <c r="H44" s="741"/>
      <c r="I44" s="741"/>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7"/>
      <c r="AJ44" s="758"/>
    </row>
    <row r="45" spans="1:36" ht="19.5">
      <c r="A45" s="682"/>
      <c r="B45" s="1402"/>
      <c r="C45" s="759" t="s">
        <v>1255</v>
      </c>
      <c r="D45" s="760" t="s">
        <v>2576</v>
      </c>
      <c r="E45" s="370" t="s">
        <v>2357</v>
      </c>
      <c r="F45" s="755" t="s">
        <v>1046</v>
      </c>
      <c r="G45" s="371">
        <v>0.07</v>
      </c>
      <c r="H45" s="741"/>
      <c r="I45" s="741"/>
      <c r="J45" s="688"/>
      <c r="K45" s="689" t="s">
        <v>2131</v>
      </c>
      <c r="L45" s="690" t="s">
        <v>2301</v>
      </c>
      <c r="M45" s="691" t="s">
        <v>2292</v>
      </c>
      <c r="N45" s="691" t="s">
        <v>2483</v>
      </c>
      <c r="O45" s="691" t="s">
        <v>2323</v>
      </c>
      <c r="P45" s="691" t="s">
        <v>2492</v>
      </c>
      <c r="Q45" s="691" t="s">
        <v>2497</v>
      </c>
      <c r="R45" s="691" t="s">
        <v>2348</v>
      </c>
      <c r="S45" s="691" t="s">
        <v>2297</v>
      </c>
      <c r="T45" s="691" t="s">
        <v>2481</v>
      </c>
      <c r="U45" s="691" t="s">
        <v>2306</v>
      </c>
      <c r="V45" s="691" t="s">
        <v>2337</v>
      </c>
      <c r="W45" s="691" t="s">
        <v>2081</v>
      </c>
      <c r="X45" s="691" t="s">
        <v>2506</v>
      </c>
      <c r="Y45" s="691" t="s">
        <v>2512</v>
      </c>
      <c r="Z45" s="691" t="s">
        <v>2509</v>
      </c>
      <c r="AA45" s="691" t="s">
        <v>2504</v>
      </c>
      <c r="AB45" s="692" t="s">
        <v>2520</v>
      </c>
      <c r="AC45" s="1394" t="s">
        <v>2288</v>
      </c>
      <c r="AD45" s="1395"/>
      <c r="AE45" s="1395"/>
      <c r="AF45" s="1395"/>
      <c r="AG45" s="1395"/>
      <c r="AH45" s="1395"/>
      <c r="AI45" s="1395"/>
      <c r="AJ45" s="1396"/>
    </row>
    <row r="46" spans="1:36" ht="73.5">
      <c r="A46" s="682"/>
      <c r="B46" s="1402"/>
      <c r="C46" s="761" t="s">
        <v>630</v>
      </c>
      <c r="D46" s="762" t="s">
        <v>2135</v>
      </c>
      <c r="E46" s="376" t="s">
        <v>2159</v>
      </c>
      <c r="F46" s="763" t="s">
        <v>631</v>
      </c>
      <c r="G46" s="378">
        <v>0</v>
      </c>
      <c r="H46" s="741"/>
      <c r="I46" s="741"/>
      <c r="J46" s="696" t="s">
        <v>2467</v>
      </c>
      <c r="K46" s="697" t="s">
        <v>2689</v>
      </c>
      <c r="L46" s="527"/>
      <c r="M46" s="528" t="s">
        <v>1446</v>
      </c>
      <c r="N46" s="579" t="s">
        <v>1447</v>
      </c>
      <c r="O46" s="527"/>
      <c r="P46" s="527"/>
      <c r="Q46" s="579" t="s">
        <v>632</v>
      </c>
      <c r="R46" s="529" t="s">
        <v>633</v>
      </c>
      <c r="S46" s="698" t="s">
        <v>2160</v>
      </c>
      <c r="T46" s="527"/>
      <c r="U46" s="527">
        <v>-1</v>
      </c>
      <c r="V46" s="527"/>
      <c r="W46" s="527"/>
      <c r="X46" s="527"/>
      <c r="Y46" s="527"/>
      <c r="Z46" s="527"/>
      <c r="AA46" s="699"/>
      <c r="AB46" s="764" t="s">
        <v>1449</v>
      </c>
      <c r="AC46" s="1381" t="s">
        <v>634</v>
      </c>
      <c r="AD46" s="1382"/>
      <c r="AE46" s="1382"/>
      <c r="AF46" s="1382"/>
      <c r="AG46" s="1382"/>
      <c r="AH46" s="1382"/>
      <c r="AI46" s="1382"/>
      <c r="AJ46" s="1383"/>
    </row>
    <row r="47" spans="1:36" ht="39">
      <c r="A47" s="682"/>
      <c r="B47" s="1402"/>
      <c r="C47" s="761" t="s">
        <v>1268</v>
      </c>
      <c r="D47" s="762" t="s">
        <v>2581</v>
      </c>
      <c r="E47" s="376" t="s">
        <v>2582</v>
      </c>
      <c r="F47" s="763" t="s">
        <v>1269</v>
      </c>
      <c r="G47" s="378">
        <v>0</v>
      </c>
      <c r="H47" s="741"/>
      <c r="I47" s="741"/>
      <c r="J47" s="703" t="s">
        <v>2473</v>
      </c>
      <c r="K47" s="704" t="s">
        <v>1451</v>
      </c>
      <c r="L47" s="535" t="s">
        <v>1452</v>
      </c>
      <c r="M47" s="536">
        <v>-1</v>
      </c>
      <c r="N47" s="537" t="s">
        <v>2093</v>
      </c>
      <c r="O47" s="535"/>
      <c r="P47" s="535"/>
      <c r="Q47" s="537" t="s">
        <v>2159</v>
      </c>
      <c r="R47" s="538" t="s">
        <v>635</v>
      </c>
      <c r="S47" s="535"/>
      <c r="T47" s="535"/>
      <c r="U47" s="535"/>
      <c r="V47" s="535"/>
      <c r="W47" s="537" t="s">
        <v>2087</v>
      </c>
      <c r="X47" s="535"/>
      <c r="Y47" s="535"/>
      <c r="Z47" s="535"/>
      <c r="AA47" s="535"/>
      <c r="AB47" s="705" t="s">
        <v>636</v>
      </c>
      <c r="AC47" s="1381" t="s">
        <v>1455</v>
      </c>
      <c r="AD47" s="1382"/>
      <c r="AE47" s="1382"/>
      <c r="AF47" s="1382"/>
      <c r="AG47" s="1382"/>
      <c r="AH47" s="1382"/>
      <c r="AI47" s="1382"/>
      <c r="AJ47" s="1383"/>
    </row>
    <row r="48" spans="1:36" ht="58.5">
      <c r="A48" s="682"/>
      <c r="B48" s="1402"/>
      <c r="C48" s="761" t="s">
        <v>1273</v>
      </c>
      <c r="D48" s="376" t="s">
        <v>2583</v>
      </c>
      <c r="E48" s="376" t="s">
        <v>2584</v>
      </c>
      <c r="F48" s="763" t="s">
        <v>1274</v>
      </c>
      <c r="G48" s="378">
        <v>0.01</v>
      </c>
      <c r="H48" s="683"/>
      <c r="I48" s="683"/>
      <c r="J48" s="703" t="s">
        <v>2475</v>
      </c>
      <c r="K48" s="704" t="s">
        <v>1456</v>
      </c>
      <c r="L48" s="535"/>
      <c r="M48" s="536">
        <v>-1</v>
      </c>
      <c r="N48" s="537" t="s">
        <v>2093</v>
      </c>
      <c r="O48" s="535" t="s">
        <v>1457</v>
      </c>
      <c r="P48" s="535" t="s">
        <v>1458</v>
      </c>
      <c r="Q48" s="537" t="s">
        <v>2159</v>
      </c>
      <c r="R48" s="537" t="s">
        <v>637</v>
      </c>
      <c r="S48" s="535"/>
      <c r="T48" s="535"/>
      <c r="U48" s="535"/>
      <c r="V48" s="535"/>
      <c r="W48" s="537" t="s">
        <v>2091</v>
      </c>
      <c r="X48" s="535"/>
      <c r="Y48" s="535"/>
      <c r="Z48" s="535"/>
      <c r="AA48" s="535"/>
      <c r="AB48" s="705" t="s">
        <v>638</v>
      </c>
      <c r="AC48" s="1381" t="s">
        <v>639</v>
      </c>
      <c r="AD48" s="1382"/>
      <c r="AE48" s="1382"/>
      <c r="AF48" s="1382"/>
      <c r="AG48" s="1382"/>
      <c r="AH48" s="1382"/>
      <c r="AI48" s="1382"/>
      <c r="AJ48" s="1383"/>
    </row>
    <row r="49" spans="1:36" ht="54">
      <c r="A49" s="682"/>
      <c r="B49" s="1402"/>
      <c r="C49" s="761" t="s">
        <v>1279</v>
      </c>
      <c r="D49" s="376" t="s">
        <v>2585</v>
      </c>
      <c r="E49" s="376" t="s">
        <v>2586</v>
      </c>
      <c r="F49" s="763" t="s">
        <v>1280</v>
      </c>
      <c r="G49" s="378">
        <v>0.005</v>
      </c>
      <c r="H49" s="683"/>
      <c r="I49" s="683"/>
      <c r="J49" s="703" t="s">
        <v>2477</v>
      </c>
      <c r="K49" s="704" t="s">
        <v>1462</v>
      </c>
      <c r="L49" s="535" t="s">
        <v>1463</v>
      </c>
      <c r="M49" s="535"/>
      <c r="N49" s="535" t="s">
        <v>1050</v>
      </c>
      <c r="O49" s="535"/>
      <c r="P49" s="535"/>
      <c r="Q49" s="535" t="s">
        <v>640</v>
      </c>
      <c r="R49" s="537" t="s">
        <v>641</v>
      </c>
      <c r="S49" s="535"/>
      <c r="T49" s="535"/>
      <c r="U49" s="535"/>
      <c r="V49" s="536">
        <v>1</v>
      </c>
      <c r="W49" s="535" t="s">
        <v>1465</v>
      </c>
      <c r="X49" s="535"/>
      <c r="Y49" s="535"/>
      <c r="Z49" s="535"/>
      <c r="AA49" s="535"/>
      <c r="AB49" s="706" t="s">
        <v>642</v>
      </c>
      <c r="AC49" s="1381" t="s">
        <v>643</v>
      </c>
      <c r="AD49" s="1382"/>
      <c r="AE49" s="1382"/>
      <c r="AF49" s="1382"/>
      <c r="AG49" s="1382"/>
      <c r="AH49" s="1382"/>
      <c r="AI49" s="1382"/>
      <c r="AJ49" s="1383"/>
    </row>
    <row r="50" spans="1:36" ht="73.5">
      <c r="A50" s="682"/>
      <c r="B50" s="1402"/>
      <c r="C50" s="761" t="s">
        <v>1284</v>
      </c>
      <c r="D50" s="376" t="s">
        <v>2587</v>
      </c>
      <c r="E50" s="376" t="s">
        <v>2588</v>
      </c>
      <c r="F50" s="763" t="s">
        <v>1285</v>
      </c>
      <c r="G50" s="378">
        <v>0.014</v>
      </c>
      <c r="H50" s="683"/>
      <c r="I50" s="683"/>
      <c r="J50" s="703" t="s">
        <v>2479</v>
      </c>
      <c r="K50" s="704" t="s">
        <v>1468</v>
      </c>
      <c r="L50" s="535"/>
      <c r="M50" s="535"/>
      <c r="N50" s="535" t="s">
        <v>1050</v>
      </c>
      <c r="O50" s="535" t="s">
        <v>1469</v>
      </c>
      <c r="P50" s="535" t="s">
        <v>1470</v>
      </c>
      <c r="Q50" s="535" t="s">
        <v>640</v>
      </c>
      <c r="R50" s="537" t="s">
        <v>644</v>
      </c>
      <c r="S50" s="535"/>
      <c r="T50" s="535"/>
      <c r="U50" s="535"/>
      <c r="V50" s="536">
        <v>1</v>
      </c>
      <c r="W50" s="535" t="s">
        <v>1472</v>
      </c>
      <c r="X50" s="535"/>
      <c r="Y50" s="535"/>
      <c r="Z50" s="535"/>
      <c r="AA50" s="535"/>
      <c r="AB50" s="706" t="s">
        <v>645</v>
      </c>
      <c r="AC50" s="1381" t="s">
        <v>646</v>
      </c>
      <c r="AD50" s="1382"/>
      <c r="AE50" s="1382"/>
      <c r="AF50" s="1382"/>
      <c r="AG50" s="1382"/>
      <c r="AH50" s="1382"/>
      <c r="AI50" s="1382"/>
      <c r="AJ50" s="1383"/>
    </row>
    <row r="51" spans="1:36" ht="54">
      <c r="A51" s="682"/>
      <c r="B51" s="1402"/>
      <c r="C51" s="765" t="s">
        <v>1295</v>
      </c>
      <c r="D51" s="385" t="s">
        <v>2590</v>
      </c>
      <c r="E51" s="385" t="s">
        <v>2591</v>
      </c>
      <c r="F51" s="766" t="s">
        <v>1296</v>
      </c>
      <c r="G51" s="387">
        <v>0.75</v>
      </c>
      <c r="H51" s="683"/>
      <c r="I51" s="683"/>
      <c r="J51" s="703" t="s">
        <v>2482</v>
      </c>
      <c r="K51" s="704" t="s">
        <v>1476</v>
      </c>
      <c r="L51" s="535" t="s">
        <v>1477</v>
      </c>
      <c r="M51" s="535"/>
      <c r="N51" s="535" t="s">
        <v>1478</v>
      </c>
      <c r="O51" s="535"/>
      <c r="P51" s="535"/>
      <c r="Q51" s="537" t="s">
        <v>647</v>
      </c>
      <c r="R51" s="537" t="s">
        <v>648</v>
      </c>
      <c r="S51" s="535"/>
      <c r="T51" s="537" t="s">
        <v>2352</v>
      </c>
      <c r="U51" s="535"/>
      <c r="V51" s="536">
        <v>-1</v>
      </c>
      <c r="W51" s="535"/>
      <c r="X51" s="535"/>
      <c r="Y51" s="535"/>
      <c r="Z51" s="535"/>
      <c r="AA51" s="535"/>
      <c r="AB51" s="706" t="s">
        <v>1480</v>
      </c>
      <c r="AC51" s="1381" t="s">
        <v>649</v>
      </c>
      <c r="AD51" s="1382"/>
      <c r="AE51" s="1382"/>
      <c r="AF51" s="1382"/>
      <c r="AG51" s="1382"/>
      <c r="AH51" s="1382"/>
      <c r="AI51" s="1382"/>
      <c r="AJ51" s="1383"/>
    </row>
    <row r="52" spans="1:36" ht="58.5">
      <c r="A52" s="682"/>
      <c r="B52" s="1402"/>
      <c r="C52" s="765" t="s">
        <v>1300</v>
      </c>
      <c r="D52" s="385" t="s">
        <v>2592</v>
      </c>
      <c r="E52" s="385" t="s">
        <v>2593</v>
      </c>
      <c r="F52" s="766" t="s">
        <v>1301</v>
      </c>
      <c r="G52" s="387">
        <v>0.75</v>
      </c>
      <c r="H52" s="683"/>
      <c r="I52" s="683"/>
      <c r="J52" s="703" t="s">
        <v>2484</v>
      </c>
      <c r="K52" s="704" t="s">
        <v>1483</v>
      </c>
      <c r="L52" s="535"/>
      <c r="M52" s="535"/>
      <c r="N52" s="535" t="s">
        <v>1478</v>
      </c>
      <c r="O52" s="535" t="s">
        <v>1484</v>
      </c>
      <c r="P52" s="535" t="s">
        <v>1485</v>
      </c>
      <c r="Q52" s="537" t="s">
        <v>647</v>
      </c>
      <c r="R52" s="537" t="s">
        <v>650</v>
      </c>
      <c r="S52" s="535"/>
      <c r="T52" s="537" t="s">
        <v>2352</v>
      </c>
      <c r="U52" s="535"/>
      <c r="V52" s="536">
        <v>-1</v>
      </c>
      <c r="W52" s="535"/>
      <c r="X52" s="535"/>
      <c r="Y52" s="535"/>
      <c r="Z52" s="535"/>
      <c r="AA52" s="535"/>
      <c r="AB52" s="706" t="s">
        <v>1480</v>
      </c>
      <c r="AC52" s="1381" t="s">
        <v>651</v>
      </c>
      <c r="AD52" s="1382"/>
      <c r="AE52" s="1382"/>
      <c r="AF52" s="1382"/>
      <c r="AG52" s="1382"/>
      <c r="AH52" s="1382"/>
      <c r="AI52" s="1382"/>
      <c r="AJ52" s="1383"/>
    </row>
    <row r="53" spans="1:36" ht="19.5">
      <c r="A53" s="682"/>
      <c r="B53" s="1402"/>
      <c r="C53" s="765" t="s">
        <v>652</v>
      </c>
      <c r="D53" s="385" t="s">
        <v>2158</v>
      </c>
      <c r="E53" s="385" t="s">
        <v>2094</v>
      </c>
      <c r="F53" s="766" t="s">
        <v>1475</v>
      </c>
      <c r="G53" s="387">
        <v>0.6</v>
      </c>
      <c r="H53" s="683"/>
      <c r="I53" s="683"/>
      <c r="J53" s="703" t="s">
        <v>2486</v>
      </c>
      <c r="K53" s="704" t="s">
        <v>1489</v>
      </c>
      <c r="L53" s="536">
        <v>-1</v>
      </c>
      <c r="M53" s="535"/>
      <c r="N53" s="535"/>
      <c r="O53" s="535"/>
      <c r="P53" s="535"/>
      <c r="Q53" s="535"/>
      <c r="R53" s="535"/>
      <c r="S53" s="535"/>
      <c r="T53" s="535"/>
      <c r="U53" s="535"/>
      <c r="V53" s="535"/>
      <c r="W53" s="767">
        <v>-1</v>
      </c>
      <c r="X53" s="535"/>
      <c r="Y53" s="535"/>
      <c r="Z53" s="535"/>
      <c r="AA53" s="535"/>
      <c r="AB53" s="706" t="s">
        <v>653</v>
      </c>
      <c r="AC53" s="1404" t="s">
        <v>654</v>
      </c>
      <c r="AD53" s="1382"/>
      <c r="AE53" s="1382"/>
      <c r="AF53" s="1382"/>
      <c r="AG53" s="1382"/>
      <c r="AH53" s="1382"/>
      <c r="AI53" s="1382"/>
      <c r="AJ53" s="1383"/>
    </row>
    <row r="54" spans="1:36" ht="19.5">
      <c r="A54" s="682"/>
      <c r="B54" s="1402"/>
      <c r="C54" s="765" t="s">
        <v>2596</v>
      </c>
      <c r="D54" s="385" t="s">
        <v>2597</v>
      </c>
      <c r="E54" s="385" t="s">
        <v>2598</v>
      </c>
      <c r="F54" s="766" t="s">
        <v>1311</v>
      </c>
      <c r="G54" s="387">
        <v>0.9</v>
      </c>
      <c r="H54" s="683"/>
      <c r="I54" s="683"/>
      <c r="J54" s="703" t="s">
        <v>2493</v>
      </c>
      <c r="K54" s="704" t="s">
        <v>1493</v>
      </c>
      <c r="L54" s="535"/>
      <c r="M54" s="535"/>
      <c r="N54" s="535"/>
      <c r="O54" s="535" t="s">
        <v>1494</v>
      </c>
      <c r="P54" s="535" t="s">
        <v>1495</v>
      </c>
      <c r="Q54" s="535"/>
      <c r="R54" s="537" t="s">
        <v>1496</v>
      </c>
      <c r="S54" s="535"/>
      <c r="T54" s="535"/>
      <c r="U54" s="535"/>
      <c r="V54" s="535"/>
      <c r="W54" s="767">
        <v>-1</v>
      </c>
      <c r="X54" s="535"/>
      <c r="Y54" s="535"/>
      <c r="Z54" s="535"/>
      <c r="AA54" s="535"/>
      <c r="AB54" s="706" t="s">
        <v>653</v>
      </c>
      <c r="AC54" s="1404" t="s">
        <v>655</v>
      </c>
      <c r="AD54" s="1382"/>
      <c r="AE54" s="1382"/>
      <c r="AF54" s="1382"/>
      <c r="AG54" s="1382"/>
      <c r="AH54" s="1382"/>
      <c r="AI54" s="1382"/>
      <c r="AJ54" s="1383"/>
    </row>
    <row r="55" spans="1:36" ht="58.5">
      <c r="A55" s="682"/>
      <c r="B55" s="1402"/>
      <c r="C55" s="765" t="s">
        <v>1314</v>
      </c>
      <c r="D55" s="385" t="s">
        <v>2599</v>
      </c>
      <c r="E55" s="385" t="s">
        <v>2600</v>
      </c>
      <c r="F55" s="766" t="s">
        <v>1315</v>
      </c>
      <c r="G55" s="387">
        <v>3.23</v>
      </c>
      <c r="H55" s="683"/>
      <c r="I55" s="683"/>
      <c r="J55" s="708" t="s">
        <v>2499</v>
      </c>
      <c r="K55" s="709" t="s">
        <v>656</v>
      </c>
      <c r="L55" s="543" t="s">
        <v>1500</v>
      </c>
      <c r="M55" s="543"/>
      <c r="N55" s="543" t="s">
        <v>1501</v>
      </c>
      <c r="O55" s="543" t="s">
        <v>1502</v>
      </c>
      <c r="P55" s="543"/>
      <c r="Q55" s="543" t="s">
        <v>640</v>
      </c>
      <c r="R55" s="544" t="s">
        <v>657</v>
      </c>
      <c r="S55" s="543"/>
      <c r="T55" s="543"/>
      <c r="U55" s="543"/>
      <c r="V55" s="543"/>
      <c r="W55" s="543"/>
      <c r="X55" s="543"/>
      <c r="Y55" s="543"/>
      <c r="Z55" s="545"/>
      <c r="AA55" s="545">
        <v>1</v>
      </c>
      <c r="AB55" s="546" t="s">
        <v>2598</v>
      </c>
      <c r="AC55" s="1381" t="s">
        <v>658</v>
      </c>
      <c r="AD55" s="1382"/>
      <c r="AE55" s="1382"/>
      <c r="AF55" s="1382"/>
      <c r="AG55" s="1382"/>
      <c r="AH55" s="1382"/>
      <c r="AI55" s="1382"/>
      <c r="AJ55" s="1383"/>
    </row>
    <row r="56" spans="1:36" ht="54">
      <c r="A56" s="682"/>
      <c r="B56" s="1402"/>
      <c r="C56" s="585" t="s">
        <v>1488</v>
      </c>
      <c r="D56" s="768" t="s">
        <v>2374</v>
      </c>
      <c r="E56" s="768" t="s">
        <v>2374</v>
      </c>
      <c r="F56" s="104" t="s">
        <v>2375</v>
      </c>
      <c r="G56" s="769">
        <f>40/14</f>
        <v>2.857142857142857</v>
      </c>
      <c r="H56" s="683"/>
      <c r="I56" s="683"/>
      <c r="J56" s="708" t="s">
        <v>2502</v>
      </c>
      <c r="K56" s="709" t="s">
        <v>1506</v>
      </c>
      <c r="L56" s="543" t="s">
        <v>1477</v>
      </c>
      <c r="M56" s="543"/>
      <c r="N56" s="543" t="s">
        <v>1478</v>
      </c>
      <c r="O56" s="543"/>
      <c r="P56" s="543"/>
      <c r="Q56" s="544" t="s">
        <v>647</v>
      </c>
      <c r="R56" s="544" t="s">
        <v>659</v>
      </c>
      <c r="S56" s="543"/>
      <c r="T56" s="544" t="s">
        <v>2352</v>
      </c>
      <c r="U56" s="543"/>
      <c r="V56" s="543"/>
      <c r="W56" s="543"/>
      <c r="X56" s="543"/>
      <c r="Y56" s="543"/>
      <c r="Z56" s="545"/>
      <c r="AA56" s="545">
        <v>-1</v>
      </c>
      <c r="AB56" s="547" t="s">
        <v>1480</v>
      </c>
      <c r="AC56" s="1381" t="s">
        <v>660</v>
      </c>
      <c r="AD56" s="1382"/>
      <c r="AE56" s="1382"/>
      <c r="AF56" s="1382"/>
      <c r="AG56" s="1382"/>
      <c r="AH56" s="1382"/>
      <c r="AI56" s="1382"/>
      <c r="AJ56" s="1383"/>
    </row>
    <row r="57" spans="1:36" ht="58.5">
      <c r="A57" s="682"/>
      <c r="B57" s="1402"/>
      <c r="C57" s="585" t="s">
        <v>1492</v>
      </c>
      <c r="D57" s="768" t="s">
        <v>2376</v>
      </c>
      <c r="E57" s="768" t="s">
        <v>2376</v>
      </c>
      <c r="F57" s="104" t="s">
        <v>2375</v>
      </c>
      <c r="G57" s="769">
        <f>-64/14</f>
        <v>-4.571428571428571</v>
      </c>
      <c r="H57" s="683"/>
      <c r="I57" s="683"/>
      <c r="J57" s="708" t="s">
        <v>2082</v>
      </c>
      <c r="K57" s="709" t="s">
        <v>1510</v>
      </c>
      <c r="L57" s="543"/>
      <c r="M57" s="543"/>
      <c r="N57" s="543" t="s">
        <v>1478</v>
      </c>
      <c r="O57" s="543" t="s">
        <v>1484</v>
      </c>
      <c r="P57" s="543" t="s">
        <v>1485</v>
      </c>
      <c r="Q57" s="544" t="s">
        <v>647</v>
      </c>
      <c r="R57" s="544" t="s">
        <v>661</v>
      </c>
      <c r="S57" s="543"/>
      <c r="T57" s="544" t="s">
        <v>2352</v>
      </c>
      <c r="U57" s="543"/>
      <c r="V57" s="543"/>
      <c r="W57" s="543"/>
      <c r="X57" s="543"/>
      <c r="Y57" s="543"/>
      <c r="Z57" s="545"/>
      <c r="AA57" s="545">
        <v>-1</v>
      </c>
      <c r="AB57" s="547" t="s">
        <v>1480</v>
      </c>
      <c r="AC57" s="1381" t="s">
        <v>662</v>
      </c>
      <c r="AD57" s="1382"/>
      <c r="AE57" s="1382"/>
      <c r="AF57" s="1382"/>
      <c r="AG57" s="1382"/>
      <c r="AH57" s="1382"/>
      <c r="AI57" s="1382"/>
      <c r="AJ57" s="1383"/>
    </row>
    <row r="58" spans="1:36" ht="58.5">
      <c r="A58" s="682"/>
      <c r="B58" s="1402"/>
      <c r="C58" s="585" t="s">
        <v>1498</v>
      </c>
      <c r="D58" s="768" t="s">
        <v>2377</v>
      </c>
      <c r="E58" s="768" t="s">
        <v>2377</v>
      </c>
      <c r="F58" s="104" t="s">
        <v>2375</v>
      </c>
      <c r="G58" s="769">
        <f>-24/14</f>
        <v>-1.7142857142857142</v>
      </c>
      <c r="H58" s="683"/>
      <c r="I58" s="683"/>
      <c r="J58" s="710" t="s">
        <v>2138</v>
      </c>
      <c r="K58" s="711" t="s">
        <v>663</v>
      </c>
      <c r="L58" s="712"/>
      <c r="M58" s="713">
        <v>-1</v>
      </c>
      <c r="N58" s="714" t="s">
        <v>2093</v>
      </c>
      <c r="O58" s="713"/>
      <c r="P58" s="713"/>
      <c r="Q58" s="714" t="s">
        <v>664</v>
      </c>
      <c r="R58" s="715" t="s">
        <v>665</v>
      </c>
      <c r="S58" s="713"/>
      <c r="T58" s="713"/>
      <c r="U58" s="713"/>
      <c r="V58" s="713"/>
      <c r="W58" s="713"/>
      <c r="X58" s="713"/>
      <c r="Y58" s="713" t="s">
        <v>666</v>
      </c>
      <c r="Z58" s="713">
        <v>1</v>
      </c>
      <c r="AA58" s="713"/>
      <c r="AB58" s="716" t="s">
        <v>667</v>
      </c>
      <c r="AC58" s="1381" t="s">
        <v>668</v>
      </c>
      <c r="AD58" s="1382"/>
      <c r="AE58" s="1382"/>
      <c r="AF58" s="1382"/>
      <c r="AG58" s="1382"/>
      <c r="AH58" s="1382"/>
      <c r="AI58" s="1382"/>
      <c r="AJ58" s="1383"/>
    </row>
    <row r="59" spans="1:36" ht="54">
      <c r="A59" s="682"/>
      <c r="B59" s="1402"/>
      <c r="C59" s="585" t="s">
        <v>1505</v>
      </c>
      <c r="D59" s="768" t="s">
        <v>2317</v>
      </c>
      <c r="E59" s="768" t="s">
        <v>2317</v>
      </c>
      <c r="F59" s="104" t="s">
        <v>2378</v>
      </c>
      <c r="G59" s="769">
        <f>1/14</f>
        <v>0.07142857142857142</v>
      </c>
      <c r="H59" s="683"/>
      <c r="I59" s="683"/>
      <c r="J59" s="710" t="s">
        <v>2140</v>
      </c>
      <c r="K59" s="711" t="s">
        <v>669</v>
      </c>
      <c r="L59" s="713" t="s">
        <v>670</v>
      </c>
      <c r="M59" s="713"/>
      <c r="N59" s="713"/>
      <c r="O59" s="713"/>
      <c r="P59" s="713"/>
      <c r="Q59" s="713">
        <v>-1</v>
      </c>
      <c r="R59" s="715" t="s">
        <v>671</v>
      </c>
      <c r="S59" s="713"/>
      <c r="T59" s="713"/>
      <c r="U59" s="713"/>
      <c r="V59" s="713"/>
      <c r="W59" s="713"/>
      <c r="X59" s="713"/>
      <c r="Y59" s="713">
        <v>1</v>
      </c>
      <c r="Z59" s="713" t="s">
        <v>670</v>
      </c>
      <c r="AA59" s="713"/>
      <c r="AB59" s="717" t="s">
        <v>672</v>
      </c>
      <c r="AC59" s="1381" t="s">
        <v>673</v>
      </c>
      <c r="AD59" s="1382"/>
      <c r="AE59" s="1382"/>
      <c r="AF59" s="1382"/>
      <c r="AG59" s="1382"/>
      <c r="AH59" s="1382"/>
      <c r="AI59" s="1382"/>
      <c r="AJ59" s="1383"/>
    </row>
    <row r="60" spans="1:36" ht="58.5">
      <c r="A60" s="682"/>
      <c r="B60" s="1402"/>
      <c r="C60" s="585" t="s">
        <v>1509</v>
      </c>
      <c r="D60" s="768" t="s">
        <v>2379</v>
      </c>
      <c r="E60" s="768" t="s">
        <v>2379</v>
      </c>
      <c r="F60" s="104" t="s">
        <v>2378</v>
      </c>
      <c r="G60" s="769">
        <f>-1/14</f>
        <v>-0.07142857142857142</v>
      </c>
      <c r="H60" s="683"/>
      <c r="I60" s="683"/>
      <c r="J60" s="710" t="s">
        <v>2141</v>
      </c>
      <c r="K60" s="711" t="s">
        <v>674</v>
      </c>
      <c r="L60" s="713"/>
      <c r="M60" s="713"/>
      <c r="N60" s="713"/>
      <c r="O60" s="713" t="s">
        <v>675</v>
      </c>
      <c r="P60" s="713" t="s">
        <v>676</v>
      </c>
      <c r="Q60" s="713">
        <v>-1</v>
      </c>
      <c r="R60" s="715" t="s">
        <v>677</v>
      </c>
      <c r="S60" s="713"/>
      <c r="T60" s="713"/>
      <c r="U60" s="713"/>
      <c r="V60" s="713"/>
      <c r="W60" s="713"/>
      <c r="X60" s="713"/>
      <c r="Y60" s="713">
        <v>1</v>
      </c>
      <c r="Z60" s="713" t="s">
        <v>670</v>
      </c>
      <c r="AA60" s="713"/>
      <c r="AB60" s="717" t="s">
        <v>672</v>
      </c>
      <c r="AC60" s="1381" t="s">
        <v>678</v>
      </c>
      <c r="AD60" s="1382"/>
      <c r="AE60" s="1382"/>
      <c r="AF60" s="1382"/>
      <c r="AG60" s="1382"/>
      <c r="AH60" s="1382"/>
      <c r="AI60" s="1382"/>
      <c r="AJ60" s="1383"/>
    </row>
    <row r="61" spans="1:36" ht="54">
      <c r="A61" s="682"/>
      <c r="B61" s="1402"/>
      <c r="C61" s="585" t="s">
        <v>679</v>
      </c>
      <c r="D61" s="768" t="s">
        <v>2564</v>
      </c>
      <c r="E61" s="768" t="s">
        <v>2564</v>
      </c>
      <c r="F61" s="104" t="s">
        <v>2563</v>
      </c>
      <c r="G61" s="769">
        <f>-1/31</f>
        <v>-0.03225806451612903</v>
      </c>
      <c r="H61" s="682"/>
      <c r="I61" s="682"/>
      <c r="J61" s="710" t="s">
        <v>2142</v>
      </c>
      <c r="K61" s="711" t="s">
        <v>590</v>
      </c>
      <c r="L61" s="713" t="s">
        <v>680</v>
      </c>
      <c r="M61" s="713"/>
      <c r="N61" s="713" t="s">
        <v>1050</v>
      </c>
      <c r="O61" s="713"/>
      <c r="P61" s="713"/>
      <c r="Q61" s="713" t="s">
        <v>640</v>
      </c>
      <c r="R61" s="715" t="s">
        <v>681</v>
      </c>
      <c r="S61" s="713"/>
      <c r="T61" s="713"/>
      <c r="U61" s="713"/>
      <c r="V61" s="713"/>
      <c r="W61" s="713"/>
      <c r="X61" s="713">
        <v>1</v>
      </c>
      <c r="Y61" s="713"/>
      <c r="Z61" s="718" t="s">
        <v>682</v>
      </c>
      <c r="AA61" s="713"/>
      <c r="AB61" s="717" t="s">
        <v>683</v>
      </c>
      <c r="AC61" s="1381" t="s">
        <v>684</v>
      </c>
      <c r="AD61" s="1382"/>
      <c r="AE61" s="1382"/>
      <c r="AF61" s="1382"/>
      <c r="AG61" s="1382"/>
      <c r="AH61" s="1382"/>
      <c r="AI61" s="1382"/>
      <c r="AJ61" s="1383"/>
    </row>
    <row r="62" spans="1:36" ht="74.25" thickBot="1">
      <c r="A62" s="682"/>
      <c r="B62" s="1403"/>
      <c r="C62" s="770" t="s">
        <v>685</v>
      </c>
      <c r="D62" s="771" t="s">
        <v>2562</v>
      </c>
      <c r="E62" s="771" t="s">
        <v>2562</v>
      </c>
      <c r="F62" s="110" t="s">
        <v>2563</v>
      </c>
      <c r="G62" s="772">
        <f>-1.5/31</f>
        <v>-0.04838709677419355</v>
      </c>
      <c r="H62" s="682"/>
      <c r="I62" s="682"/>
      <c r="J62" s="710" t="s">
        <v>2143</v>
      </c>
      <c r="K62" s="711" t="s">
        <v>596</v>
      </c>
      <c r="L62" s="713"/>
      <c r="M62" s="713"/>
      <c r="N62" s="713" t="s">
        <v>1050</v>
      </c>
      <c r="O62" s="720" t="s">
        <v>686</v>
      </c>
      <c r="P62" s="720" t="s">
        <v>687</v>
      </c>
      <c r="Q62" s="713" t="s">
        <v>640</v>
      </c>
      <c r="R62" s="715" t="s">
        <v>688</v>
      </c>
      <c r="S62" s="713"/>
      <c r="T62" s="713"/>
      <c r="U62" s="713"/>
      <c r="V62" s="713"/>
      <c r="W62" s="713"/>
      <c r="X62" s="713">
        <v>1</v>
      </c>
      <c r="Y62" s="713"/>
      <c r="Z62" s="713" t="s">
        <v>689</v>
      </c>
      <c r="AA62" s="713"/>
      <c r="AB62" s="717" t="s">
        <v>690</v>
      </c>
      <c r="AC62" s="1381" t="s">
        <v>691</v>
      </c>
      <c r="AD62" s="1382"/>
      <c r="AE62" s="1382"/>
      <c r="AF62" s="1382"/>
      <c r="AG62" s="1382"/>
      <c r="AH62" s="1382"/>
      <c r="AI62" s="1382"/>
      <c r="AJ62" s="1383"/>
    </row>
    <row r="63" spans="1:36" ht="54">
      <c r="A63" s="682"/>
      <c r="B63" s="1401" t="s">
        <v>2161</v>
      </c>
      <c r="C63" s="773" t="s">
        <v>2381</v>
      </c>
      <c r="D63" s="774" t="s">
        <v>2097</v>
      </c>
      <c r="E63" s="775" t="s">
        <v>2383</v>
      </c>
      <c r="F63" s="776" t="s">
        <v>1072</v>
      </c>
      <c r="G63" s="313">
        <v>9</v>
      </c>
      <c r="H63" s="725"/>
      <c r="I63" s="725"/>
      <c r="J63" s="710" t="s">
        <v>2145</v>
      </c>
      <c r="K63" s="711" t="s">
        <v>603</v>
      </c>
      <c r="L63" s="713" t="s">
        <v>1477</v>
      </c>
      <c r="M63" s="713"/>
      <c r="N63" s="713" t="s">
        <v>1478</v>
      </c>
      <c r="O63" s="713"/>
      <c r="P63" s="713"/>
      <c r="Q63" s="713" t="s">
        <v>692</v>
      </c>
      <c r="R63" s="715" t="s">
        <v>693</v>
      </c>
      <c r="S63" s="713"/>
      <c r="T63" s="714" t="s">
        <v>2352</v>
      </c>
      <c r="U63" s="713"/>
      <c r="V63" s="713"/>
      <c r="W63" s="713"/>
      <c r="X63" s="713">
        <v>-1</v>
      </c>
      <c r="Y63" s="713"/>
      <c r="Z63" s="713"/>
      <c r="AA63" s="713"/>
      <c r="AB63" s="717" t="s">
        <v>1480</v>
      </c>
      <c r="AC63" s="1381" t="s">
        <v>694</v>
      </c>
      <c r="AD63" s="1382"/>
      <c r="AE63" s="1382"/>
      <c r="AF63" s="1382"/>
      <c r="AG63" s="1382"/>
      <c r="AH63" s="1382"/>
      <c r="AI63" s="1382"/>
      <c r="AJ63" s="1383"/>
    </row>
    <row r="64" spans="1:36" ht="58.5">
      <c r="A64" s="682"/>
      <c r="B64" s="1402"/>
      <c r="C64" s="596" t="s">
        <v>1318</v>
      </c>
      <c r="D64" s="775" t="s">
        <v>2384</v>
      </c>
      <c r="E64" s="775" t="s">
        <v>2385</v>
      </c>
      <c r="F64" s="776" t="s">
        <v>1075</v>
      </c>
      <c r="G64" s="597">
        <v>1</v>
      </c>
      <c r="H64" s="683"/>
      <c r="I64" s="683"/>
      <c r="J64" s="710" t="s">
        <v>2146</v>
      </c>
      <c r="K64" s="711" t="s">
        <v>607</v>
      </c>
      <c r="L64" s="713"/>
      <c r="M64" s="713"/>
      <c r="N64" s="713" t="s">
        <v>1478</v>
      </c>
      <c r="O64" s="713" t="s">
        <v>695</v>
      </c>
      <c r="P64" s="713" t="s">
        <v>696</v>
      </c>
      <c r="Q64" s="713" t="s">
        <v>692</v>
      </c>
      <c r="R64" s="715" t="s">
        <v>697</v>
      </c>
      <c r="S64" s="713"/>
      <c r="T64" s="714" t="s">
        <v>2352</v>
      </c>
      <c r="U64" s="713"/>
      <c r="V64" s="713"/>
      <c r="W64" s="713"/>
      <c r="X64" s="713">
        <v>-1</v>
      </c>
      <c r="Y64" s="713"/>
      <c r="Z64" s="713"/>
      <c r="AA64" s="713"/>
      <c r="AB64" s="717" t="s">
        <v>1480</v>
      </c>
      <c r="AC64" s="1381" t="s">
        <v>698</v>
      </c>
      <c r="AD64" s="1382"/>
      <c r="AE64" s="1382"/>
      <c r="AF64" s="1382"/>
      <c r="AG64" s="1382"/>
      <c r="AH64" s="1382"/>
      <c r="AI64" s="1382"/>
      <c r="AJ64" s="1383"/>
    </row>
    <row r="65" spans="1:36" ht="39">
      <c r="A65" s="682"/>
      <c r="B65" s="1402"/>
      <c r="C65" s="403" t="s">
        <v>1513</v>
      </c>
      <c r="D65" s="404" t="s">
        <v>2098</v>
      </c>
      <c r="E65" s="404" t="s">
        <v>2099</v>
      </c>
      <c r="F65" s="724" t="s">
        <v>1072</v>
      </c>
      <c r="G65" s="322" t="s">
        <v>2162</v>
      </c>
      <c r="H65" s="741"/>
      <c r="I65" s="741"/>
      <c r="J65" s="710" t="s">
        <v>2148</v>
      </c>
      <c r="K65" s="711" t="s">
        <v>699</v>
      </c>
      <c r="L65" s="713"/>
      <c r="M65" s="713"/>
      <c r="N65" s="713"/>
      <c r="O65" s="713"/>
      <c r="P65" s="713"/>
      <c r="Q65" s="713">
        <v>1</v>
      </c>
      <c r="R65" s="715" t="s">
        <v>700</v>
      </c>
      <c r="S65" s="713"/>
      <c r="T65" s="713"/>
      <c r="U65" s="713"/>
      <c r="V65" s="713"/>
      <c r="W65" s="713"/>
      <c r="X65" s="713"/>
      <c r="Y65" s="713">
        <v>-1</v>
      </c>
      <c r="Z65" s="713"/>
      <c r="AA65" s="713"/>
      <c r="AB65" s="717" t="s">
        <v>701</v>
      </c>
      <c r="AC65" s="1381" t="s">
        <v>702</v>
      </c>
      <c r="AD65" s="1382"/>
      <c r="AE65" s="1382"/>
      <c r="AF65" s="1382"/>
      <c r="AG65" s="1382"/>
      <c r="AH65" s="1382"/>
      <c r="AI65" s="1382"/>
      <c r="AJ65" s="1383"/>
    </row>
    <row r="66" spans="1:36" ht="39">
      <c r="A66" s="682"/>
      <c r="B66" s="1402"/>
      <c r="C66" s="403" t="s">
        <v>1325</v>
      </c>
      <c r="D66" s="404" t="s">
        <v>2391</v>
      </c>
      <c r="E66" s="404" t="s">
        <v>2392</v>
      </c>
      <c r="F66" s="724" t="s">
        <v>1077</v>
      </c>
      <c r="G66" s="322">
        <v>3</v>
      </c>
      <c r="H66" s="741"/>
      <c r="I66" s="741"/>
      <c r="J66" s="710" t="s">
        <v>2149</v>
      </c>
      <c r="K66" s="711" t="s">
        <v>703</v>
      </c>
      <c r="L66" s="713"/>
      <c r="M66" s="713"/>
      <c r="N66" s="713"/>
      <c r="O66" s="713"/>
      <c r="P66" s="713"/>
      <c r="Q66" s="713">
        <v>1</v>
      </c>
      <c r="R66" s="715" t="s">
        <v>700</v>
      </c>
      <c r="S66" s="713"/>
      <c r="T66" s="713"/>
      <c r="U66" s="713"/>
      <c r="V66" s="713"/>
      <c r="W66" s="713"/>
      <c r="X66" s="713"/>
      <c r="Y66" s="713">
        <v>-1</v>
      </c>
      <c r="Z66" s="713"/>
      <c r="AA66" s="713"/>
      <c r="AB66" s="717" t="s">
        <v>701</v>
      </c>
      <c r="AC66" s="1381" t="s">
        <v>704</v>
      </c>
      <c r="AD66" s="1382"/>
      <c r="AE66" s="1382"/>
      <c r="AF66" s="1382"/>
      <c r="AG66" s="1382"/>
      <c r="AH66" s="1382"/>
      <c r="AI66" s="1382"/>
      <c r="AJ66" s="1383"/>
    </row>
    <row r="67" spans="1:36" ht="19.5">
      <c r="A67" s="682"/>
      <c r="B67" s="1402"/>
      <c r="C67" s="403" t="s">
        <v>1326</v>
      </c>
      <c r="D67" s="404" t="s">
        <v>2163</v>
      </c>
      <c r="E67" s="404" t="s">
        <v>2395</v>
      </c>
      <c r="F67" s="724" t="s">
        <v>2389</v>
      </c>
      <c r="G67" s="322">
        <v>0.8</v>
      </c>
      <c r="H67" s="741"/>
      <c r="I67" s="741"/>
      <c r="J67" s="710" t="s">
        <v>2150</v>
      </c>
      <c r="K67" s="711" t="s">
        <v>705</v>
      </c>
      <c r="L67" s="713">
        <v>-1</v>
      </c>
      <c r="M67" s="713"/>
      <c r="N67" s="713"/>
      <c r="O67" s="713"/>
      <c r="P67" s="713"/>
      <c r="Q67" s="713"/>
      <c r="R67" s="726"/>
      <c r="S67" s="713"/>
      <c r="T67" s="713"/>
      <c r="U67" s="713"/>
      <c r="V67" s="713"/>
      <c r="W67" s="713"/>
      <c r="X67" s="713"/>
      <c r="Y67" s="713"/>
      <c r="Z67" s="713">
        <v>-1</v>
      </c>
      <c r="AA67" s="713"/>
      <c r="AB67" s="717" t="s">
        <v>653</v>
      </c>
      <c r="AC67" s="1381" t="s">
        <v>706</v>
      </c>
      <c r="AD67" s="1382"/>
      <c r="AE67" s="1382"/>
      <c r="AF67" s="1382"/>
      <c r="AG67" s="1382"/>
      <c r="AH67" s="1382"/>
      <c r="AI67" s="1382"/>
      <c r="AJ67" s="1383"/>
    </row>
    <row r="68" spans="1:36" ht="20.25" thickBot="1">
      <c r="A68" s="682"/>
      <c r="B68" s="1402"/>
      <c r="C68" s="403" t="s">
        <v>1078</v>
      </c>
      <c r="D68" s="404" t="s">
        <v>2164</v>
      </c>
      <c r="E68" s="404" t="s">
        <v>2399</v>
      </c>
      <c r="F68" s="724" t="s">
        <v>1079</v>
      </c>
      <c r="G68" s="322">
        <v>10</v>
      </c>
      <c r="H68" s="741"/>
      <c r="I68" s="741"/>
      <c r="J68" s="728" t="s">
        <v>2151</v>
      </c>
      <c r="K68" s="729" t="s">
        <v>707</v>
      </c>
      <c r="L68" s="730"/>
      <c r="M68" s="730"/>
      <c r="N68" s="730"/>
      <c r="O68" s="730" t="s">
        <v>622</v>
      </c>
      <c r="P68" s="730" t="s">
        <v>623</v>
      </c>
      <c r="Q68" s="730"/>
      <c r="R68" s="731" t="s">
        <v>708</v>
      </c>
      <c r="S68" s="730"/>
      <c r="T68" s="730"/>
      <c r="U68" s="730"/>
      <c r="V68" s="730"/>
      <c r="W68" s="730"/>
      <c r="X68" s="730"/>
      <c r="Y68" s="730"/>
      <c r="Z68" s="730">
        <v>-1</v>
      </c>
      <c r="AA68" s="730"/>
      <c r="AB68" s="732" t="s">
        <v>653</v>
      </c>
      <c r="AC68" s="1384" t="s">
        <v>709</v>
      </c>
      <c r="AD68" s="1385"/>
      <c r="AE68" s="1385"/>
      <c r="AF68" s="1385"/>
      <c r="AG68" s="1385"/>
      <c r="AH68" s="1385"/>
      <c r="AI68" s="1385"/>
      <c r="AJ68" s="1386"/>
    </row>
    <row r="69" spans="1:36" ht="20.25" thickBot="1">
      <c r="A69" s="682"/>
      <c r="B69" s="1402"/>
      <c r="C69" s="403" t="s">
        <v>1514</v>
      </c>
      <c r="D69" s="404" t="s">
        <v>2165</v>
      </c>
      <c r="E69" s="404" t="s">
        <v>2104</v>
      </c>
      <c r="F69" s="724" t="s">
        <v>1515</v>
      </c>
      <c r="G69" s="322">
        <v>0.1</v>
      </c>
      <c r="H69" s="741"/>
      <c r="I69" s="741"/>
      <c r="J69" s="734"/>
      <c r="K69" s="1390" t="s">
        <v>2328</v>
      </c>
      <c r="L69" s="1391"/>
      <c r="M69" s="1391"/>
      <c r="N69" s="1391"/>
      <c r="O69" s="1391"/>
      <c r="P69" s="1391"/>
      <c r="Q69" s="1391"/>
      <c r="R69" s="1391"/>
      <c r="S69" s="1391"/>
      <c r="T69" s="1391"/>
      <c r="U69" s="1391"/>
      <c r="V69" s="1391"/>
      <c r="W69" s="1391"/>
      <c r="X69" s="1391"/>
      <c r="Y69" s="1391"/>
      <c r="Z69" s="1391"/>
      <c r="AA69" s="1391"/>
      <c r="AB69" s="1392"/>
      <c r="AC69" s="734"/>
      <c r="AD69" s="734"/>
      <c r="AE69" s="734"/>
      <c r="AF69" s="734"/>
      <c r="AG69" s="734"/>
      <c r="AH69" s="734"/>
      <c r="AI69" s="735"/>
      <c r="AJ69" s="736"/>
    </row>
    <row r="70" spans="1:36" ht="19.5">
      <c r="A70" s="682"/>
      <c r="B70" s="1402"/>
      <c r="C70" s="406" t="s">
        <v>710</v>
      </c>
      <c r="D70" s="407" t="s">
        <v>2400</v>
      </c>
      <c r="E70" s="407" t="s">
        <v>2166</v>
      </c>
      <c r="F70" s="777" t="s">
        <v>1077</v>
      </c>
      <c r="G70" s="322" t="s">
        <v>2167</v>
      </c>
      <c r="H70" s="741"/>
      <c r="I70" s="741"/>
      <c r="J70" s="734"/>
      <c r="K70" s="737" t="s">
        <v>2332</v>
      </c>
      <c r="L70" s="738">
        <v>-1</v>
      </c>
      <c r="M70" s="738">
        <v>1</v>
      </c>
      <c r="N70" s="738"/>
      <c r="O70" s="739" t="s">
        <v>2376</v>
      </c>
      <c r="P70" s="739" t="s">
        <v>2377</v>
      </c>
      <c r="Q70" s="738"/>
      <c r="R70" s="738"/>
      <c r="S70" s="738">
        <v>1</v>
      </c>
      <c r="T70" s="738">
        <v>1</v>
      </c>
      <c r="U70" s="738">
        <v>1</v>
      </c>
      <c r="V70" s="738">
        <v>1</v>
      </c>
      <c r="W70" s="738">
        <v>1</v>
      </c>
      <c r="X70" s="738">
        <v>1</v>
      </c>
      <c r="Y70" s="738"/>
      <c r="Z70" s="738">
        <v>1</v>
      </c>
      <c r="AA70" s="738">
        <v>1</v>
      </c>
      <c r="AB70" s="740"/>
      <c r="AC70" s="734"/>
      <c r="AD70" s="734"/>
      <c r="AE70" s="734"/>
      <c r="AF70" s="734"/>
      <c r="AG70" s="734"/>
      <c r="AH70" s="734"/>
      <c r="AI70" s="735"/>
      <c r="AJ70" s="736"/>
    </row>
    <row r="71" spans="1:36" ht="19.5">
      <c r="A71" s="682"/>
      <c r="B71" s="1402"/>
      <c r="C71" s="403" t="s">
        <v>2168</v>
      </c>
      <c r="D71" s="404" t="s">
        <v>2169</v>
      </c>
      <c r="E71" s="404" t="s">
        <v>2170</v>
      </c>
      <c r="F71" s="724" t="s">
        <v>2389</v>
      </c>
      <c r="G71" s="322">
        <v>0.33</v>
      </c>
      <c r="H71" s="741"/>
      <c r="I71" s="741"/>
      <c r="J71" s="734"/>
      <c r="K71" s="742" t="s">
        <v>2338</v>
      </c>
      <c r="L71" s="743"/>
      <c r="M71" s="744" t="s">
        <v>2093</v>
      </c>
      <c r="N71" s="743">
        <v>1</v>
      </c>
      <c r="O71" s="743">
        <v>1</v>
      </c>
      <c r="P71" s="743">
        <v>1</v>
      </c>
      <c r="Q71" s="743"/>
      <c r="R71" s="743"/>
      <c r="S71" s="744" t="s">
        <v>2569</v>
      </c>
      <c r="T71" s="744" t="s">
        <v>2571</v>
      </c>
      <c r="U71" s="744" t="s">
        <v>2573</v>
      </c>
      <c r="V71" s="744" t="s">
        <v>2357</v>
      </c>
      <c r="W71" s="743"/>
      <c r="X71" s="744" t="s">
        <v>2357</v>
      </c>
      <c r="Y71" s="743"/>
      <c r="Z71" s="743"/>
      <c r="AA71" s="744" t="s">
        <v>2357</v>
      </c>
      <c r="AB71" s="745"/>
      <c r="AC71" s="734"/>
      <c r="AD71" s="734"/>
      <c r="AE71" s="734"/>
      <c r="AF71" s="734"/>
      <c r="AG71" s="734"/>
      <c r="AH71" s="734"/>
      <c r="AI71" s="735"/>
      <c r="AJ71" s="736"/>
    </row>
    <row r="72" spans="1:36" ht="19.5">
      <c r="A72" s="682"/>
      <c r="B72" s="1402"/>
      <c r="C72" s="406" t="s">
        <v>711</v>
      </c>
      <c r="D72" s="404" t="s">
        <v>2171</v>
      </c>
      <c r="E72" s="407" t="s">
        <v>2172</v>
      </c>
      <c r="F72" s="777" t="s">
        <v>1077</v>
      </c>
      <c r="G72" s="322">
        <v>0.3</v>
      </c>
      <c r="H72" s="741"/>
      <c r="I72" s="741"/>
      <c r="J72" s="734"/>
      <c r="K72" s="742" t="s">
        <v>2540</v>
      </c>
      <c r="L72" s="743"/>
      <c r="M72" s="744" t="s">
        <v>2159</v>
      </c>
      <c r="N72" s="743"/>
      <c r="O72" s="743"/>
      <c r="P72" s="743"/>
      <c r="Q72" s="743">
        <v>1</v>
      </c>
      <c r="R72" s="743"/>
      <c r="S72" s="744" t="s">
        <v>2582</v>
      </c>
      <c r="T72" s="744" t="s">
        <v>2584</v>
      </c>
      <c r="U72" s="744" t="s">
        <v>2586</v>
      </c>
      <c r="V72" s="744" t="s">
        <v>2588</v>
      </c>
      <c r="W72" s="743"/>
      <c r="X72" s="744" t="s">
        <v>2588</v>
      </c>
      <c r="Y72" s="743">
        <v>1</v>
      </c>
      <c r="Z72" s="743"/>
      <c r="AA72" s="744" t="s">
        <v>2588</v>
      </c>
      <c r="AB72" s="745"/>
      <c r="AC72" s="734"/>
      <c r="AD72" s="734"/>
      <c r="AE72" s="734"/>
      <c r="AF72" s="734"/>
      <c r="AG72" s="734"/>
      <c r="AH72" s="734"/>
      <c r="AI72" s="735"/>
      <c r="AJ72" s="736"/>
    </row>
    <row r="73" spans="1:36" ht="39">
      <c r="A73" s="682"/>
      <c r="B73" s="1402"/>
      <c r="C73" s="415" t="s">
        <v>1081</v>
      </c>
      <c r="D73" s="404" t="s">
        <v>2402</v>
      </c>
      <c r="E73" s="404" t="s">
        <v>2403</v>
      </c>
      <c r="F73" s="724" t="s">
        <v>1082</v>
      </c>
      <c r="G73" s="322">
        <v>0.2</v>
      </c>
      <c r="H73" s="741"/>
      <c r="I73" s="741"/>
      <c r="J73" s="734"/>
      <c r="K73" s="742" t="s">
        <v>2344</v>
      </c>
      <c r="L73" s="743"/>
      <c r="M73" s="743"/>
      <c r="N73" s="747" t="s">
        <v>2317</v>
      </c>
      <c r="O73" s="747" t="s">
        <v>2379</v>
      </c>
      <c r="P73" s="748"/>
      <c r="Q73" s="747" t="s">
        <v>2562</v>
      </c>
      <c r="R73" s="743">
        <v>-1</v>
      </c>
      <c r="S73" s="743"/>
      <c r="T73" s="743"/>
      <c r="U73" s="743"/>
      <c r="V73" s="743"/>
      <c r="W73" s="743"/>
      <c r="X73" s="743"/>
      <c r="Y73" s="749" t="s">
        <v>2564</v>
      </c>
      <c r="Z73" s="743"/>
      <c r="AA73" s="743"/>
      <c r="AB73" s="745"/>
      <c r="AC73" s="734"/>
      <c r="AD73" s="734"/>
      <c r="AE73" s="734"/>
      <c r="AF73" s="734"/>
      <c r="AG73" s="734"/>
      <c r="AH73" s="734"/>
      <c r="AI73" s="735"/>
      <c r="AJ73" s="736"/>
    </row>
    <row r="74" spans="1:36" ht="39.75" thickBot="1">
      <c r="A74" s="682"/>
      <c r="B74" s="1402"/>
      <c r="C74" s="415" t="s">
        <v>1083</v>
      </c>
      <c r="D74" s="778" t="s">
        <v>2173</v>
      </c>
      <c r="E74" s="778" t="s">
        <v>2405</v>
      </c>
      <c r="F74" s="724" t="s">
        <v>1084</v>
      </c>
      <c r="G74" s="322">
        <v>0.5</v>
      </c>
      <c r="H74" s="741"/>
      <c r="I74" s="741"/>
      <c r="J74" s="734"/>
      <c r="K74" s="750" t="s">
        <v>2548</v>
      </c>
      <c r="L74" s="751"/>
      <c r="M74" s="751"/>
      <c r="N74" s="751"/>
      <c r="O74" s="751"/>
      <c r="P74" s="751"/>
      <c r="Q74" s="751"/>
      <c r="R74" s="751"/>
      <c r="S74" s="751"/>
      <c r="T74" s="752" t="s">
        <v>2591</v>
      </c>
      <c r="U74" s="752" t="s">
        <v>2593</v>
      </c>
      <c r="V74" s="752" t="s">
        <v>2598</v>
      </c>
      <c r="W74" s="752" t="s">
        <v>2094</v>
      </c>
      <c r="X74" s="752" t="s">
        <v>2598</v>
      </c>
      <c r="Y74" s="752" t="s">
        <v>2600</v>
      </c>
      <c r="Z74" s="752" t="s">
        <v>2094</v>
      </c>
      <c r="AA74" s="752" t="s">
        <v>2598</v>
      </c>
      <c r="AB74" s="753">
        <v>-1</v>
      </c>
      <c r="AC74" s="734"/>
      <c r="AD74" s="734"/>
      <c r="AE74" s="734"/>
      <c r="AF74" s="734"/>
      <c r="AG74" s="734"/>
      <c r="AH74" s="734"/>
      <c r="AI74" s="735"/>
      <c r="AJ74" s="736"/>
    </row>
    <row r="75" spans="1:36" ht="19.5">
      <c r="A75" s="682"/>
      <c r="B75" s="1402"/>
      <c r="C75" s="415" t="s">
        <v>1091</v>
      </c>
      <c r="D75" s="404" t="s">
        <v>2174</v>
      </c>
      <c r="E75" s="404" t="s">
        <v>2628</v>
      </c>
      <c r="F75" s="724" t="s">
        <v>1092</v>
      </c>
      <c r="G75" s="322">
        <v>0.01</v>
      </c>
      <c r="H75" s="741"/>
      <c r="I75" s="741"/>
      <c r="J75" s="684"/>
      <c r="K75" s="684"/>
      <c r="L75" s="684"/>
      <c r="M75" s="684"/>
      <c r="N75" s="684"/>
      <c r="O75" s="684"/>
      <c r="P75" s="684"/>
      <c r="Q75" s="684"/>
      <c r="R75" s="684"/>
      <c r="S75" s="684"/>
      <c r="T75" s="684"/>
      <c r="U75" s="684"/>
      <c r="V75" s="684"/>
      <c r="W75" s="684"/>
      <c r="X75" s="684"/>
      <c r="Y75" s="684"/>
      <c r="Z75" s="684"/>
      <c r="AA75" s="684"/>
      <c r="AB75" s="684"/>
      <c r="AC75" s="684"/>
      <c r="AD75" s="684"/>
      <c r="AE75" s="684"/>
      <c r="AF75" s="684"/>
      <c r="AG75" s="684"/>
      <c r="AH75" s="684"/>
      <c r="AI75" s="779"/>
      <c r="AJ75" s="741"/>
    </row>
    <row r="76" spans="1:36" ht="20.25" thickBot="1">
      <c r="A76" s="682"/>
      <c r="B76" s="1402"/>
      <c r="C76" s="415" t="s">
        <v>1338</v>
      </c>
      <c r="D76" s="404" t="s">
        <v>2175</v>
      </c>
      <c r="E76" s="404" t="s">
        <v>2630</v>
      </c>
      <c r="F76" s="724" t="s">
        <v>1340</v>
      </c>
      <c r="G76" s="322">
        <v>0.01</v>
      </c>
      <c r="H76" s="741"/>
      <c r="I76" s="741"/>
      <c r="J76" s="684"/>
      <c r="K76" s="684"/>
      <c r="L76" s="684"/>
      <c r="M76" s="684"/>
      <c r="N76" s="684"/>
      <c r="O76" s="684"/>
      <c r="P76" s="684"/>
      <c r="Q76" s="684"/>
      <c r="R76" s="684"/>
      <c r="S76" s="684"/>
      <c r="T76" s="684"/>
      <c r="U76" s="684"/>
      <c r="V76" s="684"/>
      <c r="W76" s="684"/>
      <c r="X76" s="684"/>
      <c r="Y76" s="684"/>
      <c r="Z76" s="684"/>
      <c r="AA76" s="684"/>
      <c r="AB76" s="684"/>
      <c r="AC76" s="684"/>
      <c r="AD76" s="684"/>
      <c r="AE76" s="684"/>
      <c r="AF76" s="684"/>
      <c r="AG76" s="684"/>
      <c r="AH76" s="684"/>
      <c r="AI76" s="779"/>
      <c r="AJ76" s="741"/>
    </row>
    <row r="77" spans="1:36" ht="30.75" thickBot="1">
      <c r="A77" s="682"/>
      <c r="B77" s="1402"/>
      <c r="C77" s="415" t="s">
        <v>1341</v>
      </c>
      <c r="D77" s="404" t="s">
        <v>2176</v>
      </c>
      <c r="E77" s="404" t="s">
        <v>2632</v>
      </c>
      <c r="F77" s="724" t="s">
        <v>1343</v>
      </c>
      <c r="G77" s="322">
        <v>0.1</v>
      </c>
      <c r="H77" s="780"/>
      <c r="I77" s="780"/>
      <c r="J77" s="1331" t="s">
        <v>2406</v>
      </c>
      <c r="K77" s="1332"/>
      <c r="L77" s="1332"/>
      <c r="M77" s="1332"/>
      <c r="N77" s="1332"/>
      <c r="O77" s="1332"/>
      <c r="P77" s="1332"/>
      <c r="Q77" s="1332"/>
      <c r="R77" s="1332"/>
      <c r="S77" s="1332"/>
      <c r="T77" s="1332"/>
      <c r="U77" s="1332"/>
      <c r="V77" s="1332"/>
      <c r="W77" s="1332"/>
      <c r="X77" s="1332"/>
      <c r="Y77" s="1332"/>
      <c r="Z77" s="1332"/>
      <c r="AA77" s="1332"/>
      <c r="AB77" s="1332"/>
      <c r="AC77" s="1332"/>
      <c r="AD77" s="1332"/>
      <c r="AE77" s="1332"/>
      <c r="AF77" s="1332"/>
      <c r="AG77" s="1332"/>
      <c r="AH77" s="1332"/>
      <c r="AI77" s="1332"/>
      <c r="AJ77" s="1333"/>
    </row>
    <row r="78" spans="1:36" ht="19.5">
      <c r="A78" s="682"/>
      <c r="B78" s="1402"/>
      <c r="C78" s="423" t="s">
        <v>1344</v>
      </c>
      <c r="D78" s="424" t="s">
        <v>2634</v>
      </c>
      <c r="E78" s="424" t="s">
        <v>2635</v>
      </c>
      <c r="F78" s="781" t="s">
        <v>1345</v>
      </c>
      <c r="G78" s="338" t="s">
        <v>2482</v>
      </c>
      <c r="H78" s="683"/>
      <c r="I78" s="683"/>
      <c r="J78" s="684"/>
      <c r="K78" s="684"/>
      <c r="L78" s="684"/>
      <c r="M78" s="684"/>
      <c r="N78" s="684"/>
      <c r="O78" s="684"/>
      <c r="P78" s="684"/>
      <c r="Q78" s="684"/>
      <c r="R78" s="684"/>
      <c r="S78" s="684"/>
      <c r="T78" s="684"/>
      <c r="U78" s="684"/>
      <c r="V78" s="684"/>
      <c r="W78" s="684"/>
      <c r="X78" s="684"/>
      <c r="Y78" s="684"/>
      <c r="Z78" s="684"/>
      <c r="AA78" s="684"/>
      <c r="AB78" s="684"/>
      <c r="AC78" s="782"/>
      <c r="AD78" s="783"/>
      <c r="AE78" s="783"/>
      <c r="AF78" s="783"/>
      <c r="AG78" s="783"/>
      <c r="AH78" s="783"/>
      <c r="AI78" s="779"/>
      <c r="AJ78" s="683"/>
    </row>
    <row r="79" spans="1:36" ht="20.25" thickBot="1">
      <c r="A79" s="682"/>
      <c r="B79" s="1402"/>
      <c r="C79" s="427" t="s">
        <v>1346</v>
      </c>
      <c r="D79" s="428" t="s">
        <v>2637</v>
      </c>
      <c r="E79" s="428" t="s">
        <v>2638</v>
      </c>
      <c r="F79" s="781" t="s">
        <v>1347</v>
      </c>
      <c r="G79" s="338" t="s">
        <v>2177</v>
      </c>
      <c r="H79" s="683"/>
      <c r="I79" s="683"/>
      <c r="J79" s="684"/>
      <c r="K79" s="684"/>
      <c r="L79" s="684"/>
      <c r="M79" s="684"/>
      <c r="N79" s="684"/>
      <c r="O79" s="684"/>
      <c r="P79" s="684"/>
      <c r="Q79" s="684"/>
      <c r="R79" s="684"/>
      <c r="S79" s="684"/>
      <c r="T79" s="684"/>
      <c r="U79" s="684"/>
      <c r="V79" s="684"/>
      <c r="W79" s="684"/>
      <c r="X79" s="684"/>
      <c r="Y79" s="684"/>
      <c r="Z79" s="684"/>
      <c r="AA79" s="684"/>
      <c r="AB79" s="684"/>
      <c r="AC79" s="1400" t="s">
        <v>2328</v>
      </c>
      <c r="AD79" s="1400"/>
      <c r="AE79" s="1400"/>
      <c r="AF79" s="1400"/>
      <c r="AG79" s="1400"/>
      <c r="AH79" s="1400"/>
      <c r="AI79" s="779"/>
      <c r="AJ79" s="683"/>
    </row>
    <row r="80" spans="1:36" ht="20.25" thickBot="1">
      <c r="A80" s="682"/>
      <c r="B80" s="1402"/>
      <c r="C80" s="423" t="s">
        <v>1348</v>
      </c>
      <c r="D80" s="424" t="s">
        <v>2178</v>
      </c>
      <c r="E80" s="424" t="s">
        <v>2640</v>
      </c>
      <c r="F80" s="781" t="s">
        <v>1349</v>
      </c>
      <c r="G80" s="338">
        <v>0.05</v>
      </c>
      <c r="H80" s="683"/>
      <c r="I80" s="683"/>
      <c r="J80" s="684"/>
      <c r="K80" s="684"/>
      <c r="L80" s="684"/>
      <c r="M80" s="684"/>
      <c r="N80" s="684"/>
      <c r="O80" s="684"/>
      <c r="P80" s="684"/>
      <c r="Q80" s="684"/>
      <c r="R80" s="684"/>
      <c r="S80" s="684"/>
      <c r="T80" s="684"/>
      <c r="U80" s="684"/>
      <c r="V80" s="684"/>
      <c r="W80" s="684"/>
      <c r="X80" s="684"/>
      <c r="Y80" s="684"/>
      <c r="Z80" s="684"/>
      <c r="AA80" s="684"/>
      <c r="AB80" s="684"/>
      <c r="AC80" s="784"/>
      <c r="AD80" s="785" t="s">
        <v>2332</v>
      </c>
      <c r="AE80" s="785" t="s">
        <v>2338</v>
      </c>
      <c r="AF80" s="785" t="s">
        <v>2540</v>
      </c>
      <c r="AG80" s="785" t="s">
        <v>2344</v>
      </c>
      <c r="AH80" s="785" t="s">
        <v>2548</v>
      </c>
      <c r="AI80" s="779"/>
      <c r="AJ80" s="683"/>
    </row>
    <row r="81" spans="1:36" ht="19.5">
      <c r="A81" s="682"/>
      <c r="B81" s="1402"/>
      <c r="C81" s="423" t="s">
        <v>1350</v>
      </c>
      <c r="D81" s="424" t="s">
        <v>2179</v>
      </c>
      <c r="E81" s="424" t="s">
        <v>2642</v>
      </c>
      <c r="F81" s="781" t="s">
        <v>1349</v>
      </c>
      <c r="G81" s="338">
        <v>0.2</v>
      </c>
      <c r="H81" s="683"/>
      <c r="I81" s="683"/>
      <c r="J81" s="786"/>
      <c r="K81" s="786"/>
      <c r="L81" s="786"/>
      <c r="M81" s="786"/>
      <c r="N81" s="786"/>
      <c r="O81" s="786"/>
      <c r="P81" s="786"/>
      <c r="Q81" s="786"/>
      <c r="R81" s="786"/>
      <c r="S81" s="786"/>
      <c r="T81" s="786"/>
      <c r="U81" s="786"/>
      <c r="V81" s="786"/>
      <c r="W81" s="786"/>
      <c r="X81" s="786"/>
      <c r="Y81" s="786"/>
      <c r="Z81" s="786"/>
      <c r="AA81" s="786"/>
      <c r="AB81" s="786"/>
      <c r="AC81" s="787" t="s">
        <v>2626</v>
      </c>
      <c r="AD81" s="788">
        <v>-1</v>
      </c>
      <c r="AE81" s="788"/>
      <c r="AF81" s="788"/>
      <c r="AG81" s="788"/>
      <c r="AH81" s="788"/>
      <c r="AI81" s="779"/>
      <c r="AJ81" s="683"/>
    </row>
    <row r="82" spans="1:36" ht="19.5">
      <c r="A82" s="682"/>
      <c r="B82" s="1402"/>
      <c r="C82" s="423" t="s">
        <v>1351</v>
      </c>
      <c r="D82" s="424" t="s">
        <v>2180</v>
      </c>
      <c r="E82" s="424" t="s">
        <v>2644</v>
      </c>
      <c r="F82" s="781" t="s">
        <v>1349</v>
      </c>
      <c r="G82" s="338">
        <v>0.05</v>
      </c>
      <c r="H82" s="683"/>
      <c r="I82" s="683"/>
      <c r="J82" s="786"/>
      <c r="K82" s="786"/>
      <c r="L82" s="786"/>
      <c r="M82" s="786"/>
      <c r="N82" s="786"/>
      <c r="O82" s="786"/>
      <c r="P82" s="786"/>
      <c r="Q82" s="786"/>
      <c r="R82" s="786"/>
      <c r="S82" s="786"/>
      <c r="T82" s="786"/>
      <c r="U82" s="786"/>
      <c r="V82" s="786"/>
      <c r="W82" s="786"/>
      <c r="X82" s="786"/>
      <c r="Y82" s="786"/>
      <c r="Z82" s="786"/>
      <c r="AA82" s="786"/>
      <c r="AB82" s="786"/>
      <c r="AC82" s="789" t="s">
        <v>2433</v>
      </c>
      <c r="AD82" s="790">
        <v>1</v>
      </c>
      <c r="AE82" s="790">
        <f>ASM3BP_i_N.SS</f>
        <v>0.03</v>
      </c>
      <c r="AF82" s="790">
        <f>ASM3BP_i_P.SS</f>
        <v>0</v>
      </c>
      <c r="AG82" s="790"/>
      <c r="AH82" s="790"/>
      <c r="AI82" s="779"/>
      <c r="AJ82" s="683"/>
    </row>
    <row r="83" spans="1:36" ht="19.5">
      <c r="A83" s="682"/>
      <c r="B83" s="1402"/>
      <c r="C83" s="427" t="s">
        <v>1352</v>
      </c>
      <c r="D83" s="428" t="s">
        <v>2645</v>
      </c>
      <c r="E83" s="428" t="s">
        <v>2646</v>
      </c>
      <c r="F83" s="733" t="s">
        <v>1077</v>
      </c>
      <c r="G83" s="338">
        <v>1</v>
      </c>
      <c r="H83" s="683"/>
      <c r="I83" s="683"/>
      <c r="J83" s="786"/>
      <c r="K83" s="786"/>
      <c r="L83" s="786"/>
      <c r="M83" s="786"/>
      <c r="N83" s="786"/>
      <c r="O83" s="786"/>
      <c r="P83" s="786"/>
      <c r="Q83" s="786"/>
      <c r="R83" s="786"/>
      <c r="S83" s="786"/>
      <c r="T83" s="786"/>
      <c r="U83" s="786"/>
      <c r="V83" s="786"/>
      <c r="W83" s="786"/>
      <c r="X83" s="786"/>
      <c r="Y83" s="786"/>
      <c r="Z83" s="786"/>
      <c r="AA83" s="786"/>
      <c r="AB83" s="786"/>
      <c r="AC83" s="789" t="s">
        <v>2631</v>
      </c>
      <c r="AD83" s="790"/>
      <c r="AE83" s="790">
        <v>1</v>
      </c>
      <c r="AF83" s="790"/>
      <c r="AG83" s="791">
        <f>ASM3BP_i_Charge_NHx</f>
        <v>0.07142857142857142</v>
      </c>
      <c r="AH83" s="790"/>
      <c r="AI83" s="779"/>
      <c r="AJ83" s="683"/>
    </row>
    <row r="84" spans="1:36" ht="19.5">
      <c r="A84" s="682"/>
      <c r="B84" s="1402"/>
      <c r="C84" s="427" t="s">
        <v>1353</v>
      </c>
      <c r="D84" s="428" t="s">
        <v>2181</v>
      </c>
      <c r="E84" s="428" t="s">
        <v>2647</v>
      </c>
      <c r="F84" s="733" t="s">
        <v>2389</v>
      </c>
      <c r="G84" s="338">
        <v>0.6</v>
      </c>
      <c r="H84" s="682"/>
      <c r="I84" s="682"/>
      <c r="J84" s="786"/>
      <c r="K84" s="786"/>
      <c r="L84" s="786"/>
      <c r="M84" s="786"/>
      <c r="N84" s="786"/>
      <c r="O84" s="786"/>
      <c r="P84" s="786"/>
      <c r="Q84" s="786"/>
      <c r="R84" s="786"/>
      <c r="S84" s="786"/>
      <c r="T84" s="786"/>
      <c r="U84" s="786"/>
      <c r="V84" s="786"/>
      <c r="W84" s="786"/>
      <c r="X84" s="786"/>
      <c r="Y84" s="786"/>
      <c r="Z84" s="786"/>
      <c r="AA84" s="786"/>
      <c r="AB84" s="786"/>
      <c r="AC84" s="789" t="s">
        <v>2633</v>
      </c>
      <c r="AD84" s="792">
        <f>ASM3BP_i_COD_NOx</f>
        <v>-4.571428571428571</v>
      </c>
      <c r="AE84" s="790">
        <v>1</v>
      </c>
      <c r="AF84" s="790"/>
      <c r="AG84" s="791">
        <f>ASM3BP_i_Charge_NOx</f>
        <v>-0.07142857142857142</v>
      </c>
      <c r="AH84" s="790"/>
      <c r="AI84" s="779"/>
      <c r="AJ84" s="683"/>
    </row>
    <row r="85" spans="1:36" ht="19.5">
      <c r="A85" s="682"/>
      <c r="B85" s="1402"/>
      <c r="C85" s="423" t="s">
        <v>1355</v>
      </c>
      <c r="D85" s="424" t="s">
        <v>2649</v>
      </c>
      <c r="E85" s="424" t="s">
        <v>2650</v>
      </c>
      <c r="F85" s="781" t="s">
        <v>1356</v>
      </c>
      <c r="G85" s="338">
        <v>0.1</v>
      </c>
      <c r="H85" s="682"/>
      <c r="I85" s="682"/>
      <c r="J85" s="786"/>
      <c r="K85" s="786"/>
      <c r="L85" s="786"/>
      <c r="M85" s="786"/>
      <c r="N85" s="786"/>
      <c r="O85" s="786"/>
      <c r="P85" s="786"/>
      <c r="Q85" s="786"/>
      <c r="R85" s="786"/>
      <c r="S85" s="786"/>
      <c r="T85" s="786"/>
      <c r="U85" s="786"/>
      <c r="V85" s="786"/>
      <c r="W85" s="786"/>
      <c r="X85" s="786"/>
      <c r="Y85" s="786"/>
      <c r="Z85" s="786"/>
      <c r="AA85" s="786"/>
      <c r="AB85" s="786"/>
      <c r="AC85" s="789" t="s">
        <v>2445</v>
      </c>
      <c r="AD85" s="792">
        <f>ASM3BP_i_COD_N2</f>
        <v>-1.7142857142857142</v>
      </c>
      <c r="AE85" s="790">
        <v>1</v>
      </c>
      <c r="AF85" s="790"/>
      <c r="AG85" s="791"/>
      <c r="AH85" s="790"/>
      <c r="AI85" s="779"/>
      <c r="AJ85" s="682"/>
    </row>
    <row r="86" spans="1:36" ht="19.5">
      <c r="A86" s="682"/>
      <c r="B86" s="1402"/>
      <c r="C86" s="431" t="s">
        <v>1357</v>
      </c>
      <c r="D86" s="432" t="s">
        <v>2652</v>
      </c>
      <c r="E86" s="432" t="s">
        <v>2653</v>
      </c>
      <c r="F86" s="793" t="s">
        <v>1077</v>
      </c>
      <c r="G86" s="338" t="s">
        <v>2182</v>
      </c>
      <c r="H86" s="682"/>
      <c r="I86" s="682"/>
      <c r="J86" s="786"/>
      <c r="K86" s="786"/>
      <c r="L86" s="786"/>
      <c r="M86" s="786"/>
      <c r="N86" s="786"/>
      <c r="O86" s="786"/>
      <c r="P86" s="786"/>
      <c r="Q86" s="786"/>
      <c r="R86" s="786"/>
      <c r="S86" s="786"/>
      <c r="T86" s="786"/>
      <c r="U86" s="786"/>
      <c r="V86" s="786"/>
      <c r="W86" s="786"/>
      <c r="X86" s="786"/>
      <c r="Y86" s="786"/>
      <c r="Z86" s="786"/>
      <c r="AA86" s="786"/>
      <c r="AB86" s="786"/>
      <c r="AC86" s="789" t="s">
        <v>2636</v>
      </c>
      <c r="AD86" s="790"/>
      <c r="AE86" s="790"/>
      <c r="AF86" s="790">
        <v>1</v>
      </c>
      <c r="AG86" s="791">
        <f>ASM3BP_i_Charge_PO4</f>
        <v>-0.04838709677419355</v>
      </c>
      <c r="AH86" s="790"/>
      <c r="AI86" s="794"/>
      <c r="AJ86" s="682"/>
    </row>
    <row r="87" spans="1:36" ht="19.5">
      <c r="A87" s="682"/>
      <c r="B87" s="1402"/>
      <c r="C87" s="427" t="s">
        <v>712</v>
      </c>
      <c r="D87" s="428" t="s">
        <v>2183</v>
      </c>
      <c r="E87" s="428" t="s">
        <v>2184</v>
      </c>
      <c r="F87" s="733" t="s">
        <v>2389</v>
      </c>
      <c r="G87" s="338">
        <v>0.33</v>
      </c>
      <c r="H87" s="682"/>
      <c r="I87" s="682"/>
      <c r="J87" s="786"/>
      <c r="K87" s="786"/>
      <c r="L87" s="786"/>
      <c r="M87" s="786"/>
      <c r="N87" s="786"/>
      <c r="O87" s="786"/>
      <c r="P87" s="786"/>
      <c r="Q87" s="786"/>
      <c r="R87" s="786"/>
      <c r="S87" s="786"/>
      <c r="T87" s="786"/>
      <c r="U87" s="786"/>
      <c r="V87" s="786"/>
      <c r="W87" s="786"/>
      <c r="X87" s="786"/>
      <c r="Y87" s="786"/>
      <c r="Z87" s="786"/>
      <c r="AA87" s="786"/>
      <c r="AB87" s="786"/>
      <c r="AC87" s="789" t="s">
        <v>2444</v>
      </c>
      <c r="AD87" s="790"/>
      <c r="AE87" s="790"/>
      <c r="AF87" s="790"/>
      <c r="AG87" s="790">
        <v>-1</v>
      </c>
      <c r="AH87" s="790"/>
      <c r="AI87" s="795"/>
      <c r="AJ87" s="682"/>
    </row>
    <row r="88" spans="1:36" ht="19.5">
      <c r="A88" s="682"/>
      <c r="B88" s="1402"/>
      <c r="C88" s="427" t="s">
        <v>1358</v>
      </c>
      <c r="D88" s="428" t="s">
        <v>2655</v>
      </c>
      <c r="E88" s="428" t="s">
        <v>2656</v>
      </c>
      <c r="F88" s="733" t="s">
        <v>1077</v>
      </c>
      <c r="G88" s="338" t="s">
        <v>2182</v>
      </c>
      <c r="H88" s="682"/>
      <c r="I88" s="682"/>
      <c r="J88" s="786"/>
      <c r="K88" s="786"/>
      <c r="L88" s="786"/>
      <c r="M88" s="786"/>
      <c r="N88" s="786"/>
      <c r="O88" s="786"/>
      <c r="P88" s="786"/>
      <c r="Q88" s="786"/>
      <c r="R88" s="786"/>
      <c r="S88" s="786"/>
      <c r="T88" s="786"/>
      <c r="U88" s="786"/>
      <c r="V88" s="786"/>
      <c r="W88" s="786"/>
      <c r="X88" s="786"/>
      <c r="Y88" s="786"/>
      <c r="Z88" s="786"/>
      <c r="AA88" s="786"/>
      <c r="AB88" s="786"/>
      <c r="AC88" s="789" t="s">
        <v>2432</v>
      </c>
      <c r="AD88" s="790">
        <v>1</v>
      </c>
      <c r="AE88" s="790">
        <f>ASM3BP_i_N.SI</f>
        <v>0.01</v>
      </c>
      <c r="AF88" s="790">
        <f>ASM3BP_i_P.SI</f>
        <v>0</v>
      </c>
      <c r="AG88" s="790"/>
      <c r="AH88" s="790"/>
      <c r="AI88" s="795"/>
      <c r="AJ88" s="682"/>
    </row>
    <row r="89" spans="1:36" ht="19.5">
      <c r="A89" s="682"/>
      <c r="B89" s="1402"/>
      <c r="C89" s="427" t="s">
        <v>713</v>
      </c>
      <c r="D89" s="428" t="s">
        <v>2185</v>
      </c>
      <c r="E89" s="428" t="s">
        <v>2186</v>
      </c>
      <c r="F89" s="733" t="s">
        <v>2389</v>
      </c>
      <c r="G89" s="338">
        <v>0.33</v>
      </c>
      <c r="H89" s="682"/>
      <c r="I89" s="682"/>
      <c r="J89" s="786"/>
      <c r="K89" s="786"/>
      <c r="L89" s="786"/>
      <c r="M89" s="786"/>
      <c r="N89" s="786"/>
      <c r="O89" s="786"/>
      <c r="P89" s="786"/>
      <c r="Q89" s="786"/>
      <c r="R89" s="786"/>
      <c r="S89" s="786"/>
      <c r="T89" s="786"/>
      <c r="U89" s="786"/>
      <c r="V89" s="786"/>
      <c r="W89" s="786"/>
      <c r="X89" s="786"/>
      <c r="Y89" s="786"/>
      <c r="Z89" s="786"/>
      <c r="AA89" s="786"/>
      <c r="AB89" s="786"/>
      <c r="AC89" s="789" t="s">
        <v>2434</v>
      </c>
      <c r="AD89" s="790">
        <v>1</v>
      </c>
      <c r="AE89" s="790">
        <f>ASM3BP_i_N.XI</f>
        <v>0.03</v>
      </c>
      <c r="AF89" s="790">
        <f>ASM3BP_i_P.XI</f>
        <v>0.01</v>
      </c>
      <c r="AG89" s="790"/>
      <c r="AH89" s="790">
        <f>ASM3BP_i_TSS.XI</f>
        <v>0.75</v>
      </c>
      <c r="AI89" s="795"/>
      <c r="AJ89" s="682"/>
    </row>
    <row r="90" spans="1:36" ht="19.5">
      <c r="A90" s="682"/>
      <c r="B90" s="1402"/>
      <c r="C90" s="427" t="s">
        <v>1359</v>
      </c>
      <c r="D90" s="428" t="s">
        <v>2658</v>
      </c>
      <c r="E90" s="428" t="s">
        <v>2659</v>
      </c>
      <c r="F90" s="733" t="s">
        <v>1077</v>
      </c>
      <c r="G90" s="338" t="s">
        <v>2182</v>
      </c>
      <c r="H90" s="682"/>
      <c r="I90" s="682"/>
      <c r="J90" s="786"/>
      <c r="K90" s="786"/>
      <c r="L90" s="786"/>
      <c r="M90" s="786"/>
      <c r="N90" s="786"/>
      <c r="O90" s="786"/>
      <c r="P90" s="786"/>
      <c r="Q90" s="786"/>
      <c r="R90" s="786"/>
      <c r="S90" s="786"/>
      <c r="T90" s="786"/>
      <c r="U90" s="786"/>
      <c r="V90" s="786"/>
      <c r="W90" s="786"/>
      <c r="X90" s="786"/>
      <c r="Y90" s="786"/>
      <c r="Z90" s="786"/>
      <c r="AA90" s="786"/>
      <c r="AB90" s="786"/>
      <c r="AC90" s="789" t="s">
        <v>2435</v>
      </c>
      <c r="AD90" s="790">
        <v>1</v>
      </c>
      <c r="AE90" s="790">
        <f>ASM3BP_i_N.XS</f>
        <v>0.035</v>
      </c>
      <c r="AF90" s="790">
        <f>ASM3BP_i_P.XS</f>
        <v>0.005</v>
      </c>
      <c r="AG90" s="790"/>
      <c r="AH90" s="790">
        <f>ASM3BP_i_TSS.XS</f>
        <v>0.75</v>
      </c>
      <c r="AI90" s="795"/>
      <c r="AJ90" s="682"/>
    </row>
    <row r="91" spans="1:36" ht="19.5">
      <c r="A91" s="682"/>
      <c r="B91" s="1402"/>
      <c r="C91" s="427" t="s">
        <v>714</v>
      </c>
      <c r="D91" s="428" t="s">
        <v>2187</v>
      </c>
      <c r="E91" s="428" t="s">
        <v>2188</v>
      </c>
      <c r="F91" s="733" t="s">
        <v>2389</v>
      </c>
      <c r="G91" s="338">
        <v>0.33</v>
      </c>
      <c r="H91" s="682"/>
      <c r="I91" s="682"/>
      <c r="J91" s="786"/>
      <c r="K91" s="786"/>
      <c r="L91" s="786"/>
      <c r="M91" s="786"/>
      <c r="N91" s="786"/>
      <c r="O91" s="786"/>
      <c r="P91" s="786"/>
      <c r="Q91" s="786"/>
      <c r="R91" s="786"/>
      <c r="S91" s="786"/>
      <c r="T91" s="786"/>
      <c r="U91" s="786"/>
      <c r="V91" s="786"/>
      <c r="W91" s="786"/>
      <c r="X91" s="786"/>
      <c r="Y91" s="786"/>
      <c r="Z91" s="786"/>
      <c r="AA91" s="786"/>
      <c r="AB91" s="786"/>
      <c r="AC91" s="789" t="s">
        <v>2648</v>
      </c>
      <c r="AD91" s="790">
        <v>1</v>
      </c>
      <c r="AE91" s="790">
        <f>ASM3BP_i_N.BM</f>
        <v>0.07</v>
      </c>
      <c r="AF91" s="790">
        <f>ASM3BP_i_P.BM</f>
        <v>0.014</v>
      </c>
      <c r="AG91" s="790"/>
      <c r="AH91" s="790">
        <f>ASM3BP_i_TSS.BM</f>
        <v>0.9</v>
      </c>
      <c r="AI91" s="795"/>
      <c r="AJ91" s="682"/>
    </row>
    <row r="92" spans="1:36" ht="19.5">
      <c r="A92" s="682"/>
      <c r="B92" s="1402"/>
      <c r="C92" s="427" t="s">
        <v>1078</v>
      </c>
      <c r="D92" s="428" t="s">
        <v>2189</v>
      </c>
      <c r="E92" s="428" t="s">
        <v>2190</v>
      </c>
      <c r="F92" s="733" t="s">
        <v>1079</v>
      </c>
      <c r="G92" s="338" t="s">
        <v>2499</v>
      </c>
      <c r="H92" s="682"/>
      <c r="I92" s="682"/>
      <c r="J92" s="786"/>
      <c r="K92" s="786"/>
      <c r="L92" s="786"/>
      <c r="M92" s="786"/>
      <c r="N92" s="786"/>
      <c r="O92" s="786"/>
      <c r="P92" s="786"/>
      <c r="Q92" s="786"/>
      <c r="R92" s="786"/>
      <c r="S92" s="786"/>
      <c r="T92" s="786"/>
      <c r="U92" s="786"/>
      <c r="V92" s="786"/>
      <c r="W92" s="786"/>
      <c r="X92" s="786"/>
      <c r="Y92" s="786"/>
      <c r="Z92" s="786"/>
      <c r="AA92" s="786"/>
      <c r="AB92" s="786"/>
      <c r="AC92" s="789" t="s">
        <v>2124</v>
      </c>
      <c r="AD92" s="790">
        <v>1</v>
      </c>
      <c r="AE92" s="790"/>
      <c r="AF92" s="790"/>
      <c r="AG92" s="790"/>
      <c r="AH92" s="790">
        <f>ASM3BP_i_TSS.XSTO</f>
        <v>0.6</v>
      </c>
      <c r="AI92" s="795"/>
      <c r="AJ92" s="682"/>
    </row>
    <row r="93" spans="1:36" ht="19.5">
      <c r="A93" s="682"/>
      <c r="B93" s="1402"/>
      <c r="C93" s="423" t="s">
        <v>1081</v>
      </c>
      <c r="D93" s="424" t="s">
        <v>2191</v>
      </c>
      <c r="E93" s="424" t="s">
        <v>2663</v>
      </c>
      <c r="F93" s="733" t="s">
        <v>1082</v>
      </c>
      <c r="G93" s="338">
        <v>0.2</v>
      </c>
      <c r="H93" s="682"/>
      <c r="I93" s="682"/>
      <c r="J93" s="786"/>
      <c r="K93" s="786"/>
      <c r="L93" s="786"/>
      <c r="M93" s="786"/>
      <c r="N93" s="786"/>
      <c r="O93" s="786"/>
      <c r="P93" s="786"/>
      <c r="Q93" s="786"/>
      <c r="R93" s="786"/>
      <c r="S93" s="786"/>
      <c r="T93" s="786"/>
      <c r="U93" s="786"/>
      <c r="V93" s="786"/>
      <c r="W93" s="786"/>
      <c r="X93" s="786"/>
      <c r="Y93" s="786"/>
      <c r="Z93" s="786"/>
      <c r="AA93" s="786"/>
      <c r="AB93" s="786"/>
      <c r="AC93" s="789" t="s">
        <v>2651</v>
      </c>
      <c r="AD93" s="790">
        <v>1</v>
      </c>
      <c r="AE93" s="790">
        <f>ASM3BP_i_N.BM</f>
        <v>0.07</v>
      </c>
      <c r="AF93" s="790">
        <f>ASM3BP_i_P.BM</f>
        <v>0.014</v>
      </c>
      <c r="AG93" s="790"/>
      <c r="AH93" s="790">
        <f>ASM3BP_i_TSS.BM</f>
        <v>0.9</v>
      </c>
      <c r="AI93" s="684"/>
      <c r="AJ93" s="682"/>
    </row>
    <row r="94" spans="1:36" ht="19.5">
      <c r="A94" s="682"/>
      <c r="B94" s="1402"/>
      <c r="C94" s="423" t="s">
        <v>1083</v>
      </c>
      <c r="D94" s="424" t="s">
        <v>2192</v>
      </c>
      <c r="E94" s="424" t="s">
        <v>2665</v>
      </c>
      <c r="F94" s="733" t="s">
        <v>1084</v>
      </c>
      <c r="G94" s="338">
        <v>0.5</v>
      </c>
      <c r="H94" s="682"/>
      <c r="I94" s="682"/>
      <c r="J94" s="786"/>
      <c r="K94" s="786"/>
      <c r="L94" s="786"/>
      <c r="M94" s="786"/>
      <c r="N94" s="786"/>
      <c r="O94" s="786"/>
      <c r="P94" s="786"/>
      <c r="Q94" s="786"/>
      <c r="R94" s="786"/>
      <c r="S94" s="786"/>
      <c r="T94" s="786"/>
      <c r="U94" s="786"/>
      <c r="V94" s="786"/>
      <c r="W94" s="786"/>
      <c r="X94" s="786"/>
      <c r="Y94" s="786"/>
      <c r="Z94" s="786"/>
      <c r="AA94" s="786"/>
      <c r="AB94" s="786"/>
      <c r="AC94" s="789" t="s">
        <v>2654</v>
      </c>
      <c r="AD94" s="790"/>
      <c r="AE94" s="790"/>
      <c r="AF94" s="790">
        <v>1</v>
      </c>
      <c r="AG94" s="796">
        <f>ASM3BP_i_Charge_XPAO.PP</f>
        <v>-0.03225806451612903</v>
      </c>
      <c r="AH94" s="790">
        <f>ASM3BP_i_TSS.XPP</f>
        <v>3.23</v>
      </c>
      <c r="AI94" s="684"/>
      <c r="AJ94" s="682"/>
    </row>
    <row r="95" spans="1:36" ht="19.5">
      <c r="A95" s="682"/>
      <c r="B95" s="1402"/>
      <c r="C95" s="423" t="s">
        <v>1091</v>
      </c>
      <c r="D95" s="424" t="s">
        <v>2193</v>
      </c>
      <c r="E95" s="424" t="s">
        <v>2667</v>
      </c>
      <c r="F95" s="733" t="s">
        <v>1092</v>
      </c>
      <c r="G95" s="338">
        <v>0.05</v>
      </c>
      <c r="H95" s="682"/>
      <c r="I95" s="682"/>
      <c r="J95" s="786"/>
      <c r="K95" s="786"/>
      <c r="L95" s="786"/>
      <c r="M95" s="786"/>
      <c r="N95" s="786"/>
      <c r="O95" s="786"/>
      <c r="P95" s="786"/>
      <c r="Q95" s="786"/>
      <c r="R95" s="786"/>
      <c r="S95" s="786"/>
      <c r="T95" s="786"/>
      <c r="U95" s="786"/>
      <c r="V95" s="786"/>
      <c r="W95" s="786"/>
      <c r="X95" s="786"/>
      <c r="Y95" s="786"/>
      <c r="Z95" s="786"/>
      <c r="AA95" s="786"/>
      <c r="AB95" s="786"/>
      <c r="AC95" s="789" t="s">
        <v>2657</v>
      </c>
      <c r="AD95" s="790">
        <v>1</v>
      </c>
      <c r="AE95" s="790"/>
      <c r="AF95" s="790"/>
      <c r="AG95" s="790"/>
      <c r="AH95" s="790">
        <f>ASM3BP_i_TSS.XSTO</f>
        <v>0.6</v>
      </c>
      <c r="AI95" s="684"/>
      <c r="AJ95" s="682"/>
    </row>
    <row r="96" spans="1:36" ht="19.5">
      <c r="A96" s="682"/>
      <c r="B96" s="1402"/>
      <c r="C96" s="423" t="s">
        <v>1364</v>
      </c>
      <c r="D96" s="424" t="s">
        <v>2194</v>
      </c>
      <c r="E96" s="424" t="s">
        <v>2669</v>
      </c>
      <c r="F96" s="733" t="s">
        <v>1340</v>
      </c>
      <c r="G96" s="338">
        <v>0.2</v>
      </c>
      <c r="H96" s="682"/>
      <c r="I96" s="682"/>
      <c r="J96" s="786"/>
      <c r="K96" s="786"/>
      <c r="L96" s="786"/>
      <c r="M96" s="786"/>
      <c r="N96" s="786"/>
      <c r="O96" s="786"/>
      <c r="P96" s="786"/>
      <c r="Q96" s="786"/>
      <c r="R96" s="786"/>
      <c r="S96" s="786"/>
      <c r="T96" s="786"/>
      <c r="U96" s="786"/>
      <c r="V96" s="786"/>
      <c r="W96" s="786"/>
      <c r="X96" s="786"/>
      <c r="Y96" s="786"/>
      <c r="Z96" s="786"/>
      <c r="AA96" s="786"/>
      <c r="AB96" s="786"/>
      <c r="AC96" s="789" t="s">
        <v>2660</v>
      </c>
      <c r="AD96" s="790">
        <v>1</v>
      </c>
      <c r="AE96" s="790">
        <f>ASM3BP_i_N.BM</f>
        <v>0.07</v>
      </c>
      <c r="AF96" s="790">
        <f>ASM3BP_i_P.BM</f>
        <v>0.014</v>
      </c>
      <c r="AG96" s="790"/>
      <c r="AH96" s="790">
        <f>ASM3BP_i_TSS.BM</f>
        <v>0.9</v>
      </c>
      <c r="AI96" s="684"/>
      <c r="AJ96" s="682"/>
    </row>
    <row r="97" spans="1:36" ht="20.25" thickBot="1">
      <c r="A97" s="682"/>
      <c r="B97" s="1402"/>
      <c r="C97" s="423" t="s">
        <v>1365</v>
      </c>
      <c r="D97" s="424" t="s">
        <v>2195</v>
      </c>
      <c r="E97" s="424" t="s">
        <v>2670</v>
      </c>
      <c r="F97" s="733" t="s">
        <v>1340</v>
      </c>
      <c r="G97" s="338">
        <v>0.01</v>
      </c>
      <c r="H97" s="682"/>
      <c r="I97" s="682"/>
      <c r="J97" s="786"/>
      <c r="K97" s="786"/>
      <c r="L97" s="786"/>
      <c r="M97" s="786"/>
      <c r="N97" s="786"/>
      <c r="O97" s="786"/>
      <c r="P97" s="786"/>
      <c r="Q97" s="786"/>
      <c r="R97" s="786"/>
      <c r="S97" s="786"/>
      <c r="T97" s="786"/>
      <c r="U97" s="786"/>
      <c r="V97" s="786"/>
      <c r="W97" s="786"/>
      <c r="X97" s="786"/>
      <c r="Y97" s="786"/>
      <c r="Z97" s="786"/>
      <c r="AA97" s="786"/>
      <c r="AB97" s="786"/>
      <c r="AC97" s="797" t="s">
        <v>2662</v>
      </c>
      <c r="AD97" s="798"/>
      <c r="AE97" s="798"/>
      <c r="AF97" s="798"/>
      <c r="AG97" s="798"/>
      <c r="AH97" s="798">
        <v>-1</v>
      </c>
      <c r="AI97" s="684"/>
      <c r="AJ97" s="682"/>
    </row>
    <row r="98" spans="1:36" ht="20.25" thickBot="1">
      <c r="A98" s="682"/>
      <c r="B98" s="1402"/>
      <c r="C98" s="423" t="s">
        <v>1341</v>
      </c>
      <c r="D98" s="424" t="s">
        <v>2196</v>
      </c>
      <c r="E98" s="424" t="s">
        <v>2671</v>
      </c>
      <c r="F98" s="733" t="s">
        <v>1343</v>
      </c>
      <c r="G98" s="338">
        <v>0.1</v>
      </c>
      <c r="H98" s="682"/>
      <c r="I98" s="682"/>
      <c r="J98" s="799"/>
      <c r="K98" s="800"/>
      <c r="L98" s="801" t="s">
        <v>2626</v>
      </c>
      <c r="M98" s="802" t="s">
        <v>2433</v>
      </c>
      <c r="N98" s="802" t="s">
        <v>2631</v>
      </c>
      <c r="O98" s="802" t="s">
        <v>2440</v>
      </c>
      <c r="P98" s="802" t="s">
        <v>2445</v>
      </c>
      <c r="Q98" s="802" t="s">
        <v>2636</v>
      </c>
      <c r="R98" s="802" t="s">
        <v>2444</v>
      </c>
      <c r="S98" s="802" t="s">
        <v>2432</v>
      </c>
      <c r="T98" s="802" t="s">
        <v>2434</v>
      </c>
      <c r="U98" s="802" t="s">
        <v>2435</v>
      </c>
      <c r="V98" s="802" t="s">
        <v>2648</v>
      </c>
      <c r="W98" s="802" t="s">
        <v>2124</v>
      </c>
      <c r="X98" s="802" t="s">
        <v>2651</v>
      </c>
      <c r="Y98" s="802" t="s">
        <v>2654</v>
      </c>
      <c r="Z98" s="802" t="s">
        <v>2657</v>
      </c>
      <c r="AA98" s="802" t="s">
        <v>2660</v>
      </c>
      <c r="AB98" s="803" t="s">
        <v>2662</v>
      </c>
      <c r="AC98" s="804"/>
      <c r="AD98" s="784"/>
      <c r="AE98" s="784"/>
      <c r="AF98" s="784"/>
      <c r="AG98" s="784"/>
      <c r="AH98" s="784"/>
      <c r="AI98" s="684"/>
      <c r="AJ98" s="682"/>
    </row>
    <row r="99" spans="1:36" ht="19.5">
      <c r="A99" s="682"/>
      <c r="B99" s="1402"/>
      <c r="C99" s="455" t="s">
        <v>1086</v>
      </c>
      <c r="D99" s="456" t="s">
        <v>2410</v>
      </c>
      <c r="E99" s="456" t="s">
        <v>2411</v>
      </c>
      <c r="F99" s="805" t="s">
        <v>1077</v>
      </c>
      <c r="G99" s="153" t="s">
        <v>2197</v>
      </c>
      <c r="H99" s="682"/>
      <c r="I99" s="682"/>
      <c r="J99" s="806" t="s">
        <v>2467</v>
      </c>
      <c r="K99" s="807" t="s">
        <v>2689</v>
      </c>
      <c r="L99" s="626"/>
      <c r="M99" s="626">
        <f>1-ASM3BP_f_SI</f>
        <v>1</v>
      </c>
      <c r="N99" s="626">
        <f>-(1-ASM3BP_f_SI)*ASM3BP_i_N.SS-ASM3BP_i_N.SI*ASM3BP_f_SI+ASM3BP_i_N.XS</f>
        <v>0.0050000000000000044</v>
      </c>
      <c r="O99" s="626"/>
      <c r="P99" s="626"/>
      <c r="Q99" s="626">
        <f>-(1-ASM3BP_f_SI)*ASM3BP_i_P.SS-ASM3BP_i_P.SI*ASM3BP_f_SI+ASM3BP_i_P.XS</f>
        <v>0.005</v>
      </c>
      <c r="R99" s="627">
        <f>ASM3BP_v_1_NH4*ASM3BP_i_Charge_NHx+ASM3BP_v_1_PO4*ASM3BP_i_Charge_PO4</f>
        <v>0.00011520737327188967</v>
      </c>
      <c r="S99" s="626">
        <f>ASM3BP_f_SI</f>
        <v>0</v>
      </c>
      <c r="T99" s="626"/>
      <c r="U99" s="626">
        <v>-1</v>
      </c>
      <c r="V99" s="626"/>
      <c r="W99" s="626"/>
      <c r="X99" s="808"/>
      <c r="Y99" s="808"/>
      <c r="Z99" s="626"/>
      <c r="AA99" s="634"/>
      <c r="AB99" s="809">
        <f>-ASM3BP_i_TSS.XS</f>
        <v>-0.75</v>
      </c>
      <c r="AC99" s="810"/>
      <c r="AD99" s="811">
        <f aca="true" t="shared" si="0" ref="AD99:AH108">$L99*AD$81+$M99*AD$82+$N99*AD$83+$O99*AD$84+$P99*AD$85+$Q99*AD$86+$R99*AD$87+$S99*AD$88+$T99*AD$89+$U99*AD$90+$V99*AD$91+$W99*AD$92+$X99*AD$93+$Y99*AD$94+$Z99*AD$95+$AA99*AD$96+$AB99*AD$97</f>
        <v>0</v>
      </c>
      <c r="AE99" s="812">
        <f t="shared" si="0"/>
        <v>0</v>
      </c>
      <c r="AF99" s="811">
        <f t="shared" si="0"/>
        <v>0</v>
      </c>
      <c r="AG99" s="812">
        <f t="shared" si="0"/>
        <v>0</v>
      </c>
      <c r="AH99" s="811">
        <f t="shared" si="0"/>
        <v>0</v>
      </c>
      <c r="AI99" s="684"/>
      <c r="AJ99" s="682"/>
    </row>
    <row r="100" spans="1:36" ht="19.5">
      <c r="A100" s="682"/>
      <c r="B100" s="1402"/>
      <c r="C100" s="608" t="s">
        <v>1087</v>
      </c>
      <c r="D100" s="813" t="s">
        <v>2412</v>
      </c>
      <c r="E100" s="813" t="s">
        <v>2413</v>
      </c>
      <c r="F100" s="814" t="s">
        <v>1077</v>
      </c>
      <c r="G100" s="153" t="s">
        <v>2182</v>
      </c>
      <c r="H100" s="682"/>
      <c r="I100" s="682"/>
      <c r="J100" s="806" t="s">
        <v>2473</v>
      </c>
      <c r="K100" s="633" t="s">
        <v>1380</v>
      </c>
      <c r="L100" s="634">
        <f>-(1-ASM3BP_Y_STO.O2)</f>
        <v>-0.19999999999999996</v>
      </c>
      <c r="M100" s="635">
        <v>-1</v>
      </c>
      <c r="N100" s="634">
        <f>ASM3BP_i_N.SS</f>
        <v>0.03</v>
      </c>
      <c r="O100" s="634"/>
      <c r="P100" s="634"/>
      <c r="Q100" s="815">
        <f>ASM3BP_i_P.SS</f>
        <v>0</v>
      </c>
      <c r="R100" s="627">
        <f>ASM3BP_v_2_NH4*ASM3BP_i_Charge_NHx+ASM3BP_v_2_PO4*ASM3BP_i_Charge_PO4</f>
        <v>0.0021428571428571425</v>
      </c>
      <c r="S100" s="634"/>
      <c r="T100" s="634"/>
      <c r="U100" s="634"/>
      <c r="V100" s="634"/>
      <c r="W100" s="634">
        <f>ASM3BP_Y_STO.O2</f>
        <v>0.8</v>
      </c>
      <c r="X100" s="815"/>
      <c r="Y100" s="815"/>
      <c r="Z100" s="634"/>
      <c r="AA100" s="634"/>
      <c r="AB100" s="809">
        <f>ASM3BP_Y_STO.O2*ASM3BP_i_TSS.XSTO</f>
        <v>0.48</v>
      </c>
      <c r="AC100" s="816"/>
      <c r="AD100" s="817">
        <f t="shared" si="0"/>
        <v>0</v>
      </c>
      <c r="AE100" s="818">
        <f t="shared" si="0"/>
        <v>0</v>
      </c>
      <c r="AF100" s="817">
        <f t="shared" si="0"/>
        <v>0</v>
      </c>
      <c r="AG100" s="818">
        <f t="shared" si="0"/>
        <v>0</v>
      </c>
      <c r="AH100" s="817">
        <f t="shared" si="0"/>
        <v>0</v>
      </c>
      <c r="AI100" s="684"/>
      <c r="AJ100" s="682"/>
    </row>
    <row r="101" spans="1:36" ht="19.5">
      <c r="A101" s="682"/>
      <c r="B101" s="1402"/>
      <c r="C101" s="608" t="s">
        <v>715</v>
      </c>
      <c r="D101" s="813" t="s">
        <v>2412</v>
      </c>
      <c r="E101" s="813" t="s">
        <v>2198</v>
      </c>
      <c r="F101" s="814" t="s">
        <v>1077</v>
      </c>
      <c r="G101" s="153" t="s">
        <v>2182</v>
      </c>
      <c r="H101" s="682"/>
      <c r="I101" s="682"/>
      <c r="J101" s="806" t="s">
        <v>2475</v>
      </c>
      <c r="K101" s="633" t="s">
        <v>1385</v>
      </c>
      <c r="L101" s="634"/>
      <c r="M101" s="635">
        <v>-1</v>
      </c>
      <c r="N101" s="634">
        <f>ASM3BP_i_N.SS</f>
        <v>0.03</v>
      </c>
      <c r="O101" s="634">
        <f>-(1-ASM3BP_Y_STO.NO)/(ASM3BP_i_NOx.N2)</f>
        <v>-0.10500000000000001</v>
      </c>
      <c r="P101" s="634">
        <f>(1-ASM3BP_Y_STO.NO)/(ASM3BP_i_NOx.N2)</f>
        <v>0.10500000000000001</v>
      </c>
      <c r="Q101" s="815">
        <f>ASM3BP_i_P.SS</f>
        <v>0</v>
      </c>
      <c r="R101" s="634">
        <f>ASM3BP_v_3_NH4*ASM3BP_i_Charge_NHx+ASM3BP_v_3_NO*ASM3BP_i_Charge_NOx+ASM3BP_v_3_PO4*ASM3BP_i_Charge_PO4</f>
        <v>0.009642857142857144</v>
      </c>
      <c r="S101" s="634"/>
      <c r="T101" s="634"/>
      <c r="U101" s="634"/>
      <c r="V101" s="634"/>
      <c r="W101" s="634">
        <f>ASM3BP_Y_STO.NO</f>
        <v>0.7</v>
      </c>
      <c r="X101" s="815"/>
      <c r="Y101" s="815"/>
      <c r="Z101" s="634"/>
      <c r="AA101" s="634"/>
      <c r="AB101" s="809">
        <f>ASM3BP_Y_STO.NO*ASM3BP_i_TSS.XSTO</f>
        <v>0.42</v>
      </c>
      <c r="AC101" s="816"/>
      <c r="AD101" s="817">
        <f t="shared" si="0"/>
        <v>0</v>
      </c>
      <c r="AE101" s="818">
        <f t="shared" si="0"/>
        <v>0</v>
      </c>
      <c r="AF101" s="817">
        <f t="shared" si="0"/>
        <v>0</v>
      </c>
      <c r="AG101" s="818">
        <f t="shared" si="0"/>
        <v>0</v>
      </c>
      <c r="AH101" s="817">
        <f t="shared" si="0"/>
        <v>0</v>
      </c>
      <c r="AI101" s="684"/>
      <c r="AJ101" s="682"/>
    </row>
    <row r="102" spans="1:36" ht="19.5">
      <c r="A102" s="682"/>
      <c r="B102" s="1402"/>
      <c r="C102" s="610" t="s">
        <v>716</v>
      </c>
      <c r="D102" s="459" t="s">
        <v>2199</v>
      </c>
      <c r="E102" s="459" t="s">
        <v>2200</v>
      </c>
      <c r="F102" s="94" t="s">
        <v>2389</v>
      </c>
      <c r="G102" s="153">
        <v>0.5</v>
      </c>
      <c r="H102" s="682"/>
      <c r="I102" s="682"/>
      <c r="J102" s="806" t="s">
        <v>2477</v>
      </c>
      <c r="K102" s="633" t="s">
        <v>1394</v>
      </c>
      <c r="L102" s="634">
        <f>-(1-ASM3BP_Y_H.O2)/ASM3BP_Y_H.O2</f>
        <v>-0.24999999999999994</v>
      </c>
      <c r="M102" s="634"/>
      <c r="N102" s="634">
        <f>-ASM3BP_i_N.BM</f>
        <v>-0.07</v>
      </c>
      <c r="O102" s="634"/>
      <c r="P102" s="634"/>
      <c r="Q102" s="815">
        <f>-ASM3BP_i_P.BM</f>
        <v>-0.014</v>
      </c>
      <c r="R102" s="634">
        <f>ASM3BP_v_4_NH4*ASM3BP_i_Charge_NHx+ASM3BP_v_4_PO4*ASM3BP_i_Charge_PO4</f>
        <v>-0.00432258064516129</v>
      </c>
      <c r="S102" s="634"/>
      <c r="T102" s="634"/>
      <c r="U102" s="634"/>
      <c r="V102" s="635">
        <v>1</v>
      </c>
      <c r="W102" s="634">
        <f>-1/ASM3BP_Y_H.O2</f>
        <v>-1.25</v>
      </c>
      <c r="X102" s="815"/>
      <c r="Y102" s="815"/>
      <c r="Z102" s="634"/>
      <c r="AA102" s="634"/>
      <c r="AB102" s="809">
        <f>(-1/ASM3BP_Y_H.O2)*ASM3BP_i_TSS.XSTO+ASM3BP_i_TSS.BM</f>
        <v>0.15000000000000002</v>
      </c>
      <c r="AC102" s="810"/>
      <c r="AD102" s="817">
        <f t="shared" si="0"/>
        <v>0</v>
      </c>
      <c r="AE102" s="818">
        <f t="shared" si="0"/>
        <v>0</v>
      </c>
      <c r="AF102" s="817">
        <f t="shared" si="0"/>
        <v>0</v>
      </c>
      <c r="AG102" s="818">
        <f t="shared" si="0"/>
        <v>0</v>
      </c>
      <c r="AH102" s="817">
        <f t="shared" si="0"/>
        <v>0</v>
      </c>
      <c r="AI102" s="684"/>
      <c r="AJ102" s="682"/>
    </row>
    <row r="103" spans="1:36" ht="19.5">
      <c r="A103" s="682"/>
      <c r="B103" s="1402"/>
      <c r="C103" s="461" t="s">
        <v>1081</v>
      </c>
      <c r="D103" s="456" t="s">
        <v>2417</v>
      </c>
      <c r="E103" s="456" t="s">
        <v>2418</v>
      </c>
      <c r="F103" s="94" t="s">
        <v>1082</v>
      </c>
      <c r="G103" s="153">
        <v>0.5</v>
      </c>
      <c r="H103" s="682"/>
      <c r="I103" s="682"/>
      <c r="J103" s="806" t="s">
        <v>2479</v>
      </c>
      <c r="K103" s="633" t="s">
        <v>1522</v>
      </c>
      <c r="L103" s="634"/>
      <c r="M103" s="634"/>
      <c r="N103" s="634">
        <f>-ASM3BP_i_N.BM</f>
        <v>-0.07</v>
      </c>
      <c r="O103" s="634">
        <f>-(1-ASM3BP_Y_H.NO)/ASM3BP_Y_H.NO*(1/ASM3BP_i_NOx.N2)</f>
        <v>-0.18846153846153843</v>
      </c>
      <c r="P103" s="634">
        <f>(1-ASM3BP_Y_H.NO)/ASM3BP_Y_H.NO*(1/ASM3BP_i_NOx.N2)</f>
        <v>0.18846153846153843</v>
      </c>
      <c r="Q103" s="815">
        <f>-ASM3BP_i_P.BM</f>
        <v>-0.014</v>
      </c>
      <c r="R103" s="634">
        <f>ASM3BP_v_5_NH4*ASM3BP_i_Charge_NHx+ASM3BP_v_5_NO*ASM3BP_i_Charge_NOx+ASM3BP_v_5_PO4*ASM3BP_i_Charge_PO4</f>
        <v>0.009138957816377167</v>
      </c>
      <c r="S103" s="634"/>
      <c r="T103" s="634"/>
      <c r="U103" s="634"/>
      <c r="V103" s="635">
        <v>1</v>
      </c>
      <c r="W103" s="634">
        <f>-1/ASM3BP_Y_H.NO</f>
        <v>-1.5384615384615383</v>
      </c>
      <c r="X103" s="815"/>
      <c r="Y103" s="815"/>
      <c r="Z103" s="634"/>
      <c r="AA103" s="634"/>
      <c r="AB103" s="809">
        <f>(-1/ASM3BP_Y_H.NO)*ASM3BP_i_TSS.XSTO+ASM3BP_i_TSS.BM</f>
        <v>-0.023076923076922884</v>
      </c>
      <c r="AC103" s="816"/>
      <c r="AD103" s="817">
        <f t="shared" si="0"/>
        <v>0</v>
      </c>
      <c r="AE103" s="818">
        <f t="shared" si="0"/>
        <v>2.7755575615628914E-17</v>
      </c>
      <c r="AF103" s="817">
        <f t="shared" si="0"/>
        <v>0</v>
      </c>
      <c r="AG103" s="818">
        <f t="shared" si="0"/>
        <v>0</v>
      </c>
      <c r="AH103" s="817">
        <f t="shared" si="0"/>
        <v>0</v>
      </c>
      <c r="AI103" s="684"/>
      <c r="AJ103" s="682"/>
    </row>
    <row r="104" spans="1:36" ht="19.5">
      <c r="A104" s="682"/>
      <c r="B104" s="1402"/>
      <c r="C104" s="461" t="s">
        <v>1091</v>
      </c>
      <c r="D104" s="459" t="s">
        <v>2201</v>
      </c>
      <c r="E104" s="459" t="s">
        <v>2420</v>
      </c>
      <c r="F104" s="94" t="s">
        <v>1092</v>
      </c>
      <c r="G104" s="153" t="s">
        <v>2202</v>
      </c>
      <c r="H104" s="682"/>
      <c r="I104" s="682"/>
      <c r="J104" s="806" t="s">
        <v>2482</v>
      </c>
      <c r="K104" s="633" t="s">
        <v>1408</v>
      </c>
      <c r="L104" s="634">
        <f>-(1-ASM3BP_f_XI)</f>
        <v>-0.8</v>
      </c>
      <c r="M104" s="634"/>
      <c r="N104" s="634">
        <f>-ASM3BP_f_XI*ASM3BP_i_N.XI+ASM3BP_i_N.BM</f>
        <v>0.064</v>
      </c>
      <c r="O104" s="634"/>
      <c r="P104" s="634"/>
      <c r="Q104" s="815">
        <f>ASM3BP_i_P.BM-ASM3BP_f_XI*ASM3BP_i_P.XI</f>
        <v>0.012</v>
      </c>
      <c r="R104" s="634">
        <f>ASM3BP_v_6_NH4*ASM3BP_i_Charge_NHx+ASM3BP_v_6_PO4*ASM3BP_i_Charge_PO4</f>
        <v>0.003990783410138248</v>
      </c>
      <c r="S104" s="634"/>
      <c r="T104" s="634">
        <f>ASM3BP_f_XI</f>
        <v>0.2</v>
      </c>
      <c r="U104" s="634"/>
      <c r="V104" s="635">
        <v>-1</v>
      </c>
      <c r="W104" s="634"/>
      <c r="X104" s="815"/>
      <c r="Y104" s="815"/>
      <c r="Z104" s="634"/>
      <c r="AA104" s="634"/>
      <c r="AB104" s="809">
        <f>-ASM3BP_i_TSS.BM+ASM3BP_f_XI*ASM3BP_i_TSS.XI</f>
        <v>-0.75</v>
      </c>
      <c r="AC104" s="816"/>
      <c r="AD104" s="817">
        <f t="shared" si="0"/>
        <v>0</v>
      </c>
      <c r="AE104" s="818">
        <f t="shared" si="0"/>
        <v>0</v>
      </c>
      <c r="AF104" s="817">
        <f t="shared" si="0"/>
        <v>0</v>
      </c>
      <c r="AG104" s="818">
        <f t="shared" si="0"/>
        <v>0</v>
      </c>
      <c r="AH104" s="817">
        <f t="shared" si="0"/>
        <v>0</v>
      </c>
      <c r="AI104" s="684"/>
      <c r="AJ104" s="682"/>
    </row>
    <row r="105" spans="1:36" ht="19.5">
      <c r="A105" s="682"/>
      <c r="B105" s="1402"/>
      <c r="C105" s="461" t="s">
        <v>1338</v>
      </c>
      <c r="D105" s="459" t="s">
        <v>2203</v>
      </c>
      <c r="E105" s="459" t="s">
        <v>2674</v>
      </c>
      <c r="F105" s="94" t="s">
        <v>1340</v>
      </c>
      <c r="G105" s="153">
        <v>0.01</v>
      </c>
      <c r="H105" s="682"/>
      <c r="I105" s="682"/>
      <c r="J105" s="806" t="s">
        <v>2484</v>
      </c>
      <c r="K105" s="633" t="s">
        <v>1414</v>
      </c>
      <c r="L105" s="634"/>
      <c r="M105" s="634"/>
      <c r="N105" s="634">
        <f>-ASM3BP_f_XI*ASM3BP_i_N.XI+ASM3BP_i_N.BM</f>
        <v>0.064</v>
      </c>
      <c r="O105" s="634">
        <f>-(1-ASM3BP_f_XI)/(ASM3BP_i_NOx.N2)</f>
        <v>-0.28</v>
      </c>
      <c r="P105" s="634">
        <f>(1-ASM3BP_f_XI)/(ASM3BP_i_NOx.N2)</f>
        <v>0.28</v>
      </c>
      <c r="Q105" s="815">
        <f>ASM3BP_i_P.BM-ASM3BP_f_XI*ASM3BP_i_P.XI</f>
        <v>0.012</v>
      </c>
      <c r="R105" s="634">
        <f>ASM3BP_v_7_NO*ASM3BP_i_Charge_NOx+ASM3BP_v_7_NH4*ASM3BP_i_Charge_NHx+ASM3BP_v_7_PO4*ASM3BP_i_Charge_PO4</f>
        <v>0.023990783410138248</v>
      </c>
      <c r="S105" s="634"/>
      <c r="T105" s="634">
        <f>ASM3BP_f_XI</f>
        <v>0.2</v>
      </c>
      <c r="U105" s="634"/>
      <c r="V105" s="635">
        <v>-1</v>
      </c>
      <c r="W105" s="634"/>
      <c r="X105" s="815"/>
      <c r="Y105" s="815"/>
      <c r="Z105" s="634"/>
      <c r="AA105" s="634"/>
      <c r="AB105" s="809">
        <f>-ASM3BP_i_TSS.BM+ASM3BP_f_XI*ASM3BP_i_TSS.XI</f>
        <v>-0.75</v>
      </c>
      <c r="AC105" s="810"/>
      <c r="AD105" s="817">
        <f t="shared" si="0"/>
        <v>0</v>
      </c>
      <c r="AE105" s="818">
        <f t="shared" si="0"/>
        <v>0</v>
      </c>
      <c r="AF105" s="817">
        <f t="shared" si="0"/>
        <v>0</v>
      </c>
      <c r="AG105" s="818">
        <f t="shared" si="0"/>
        <v>0</v>
      </c>
      <c r="AH105" s="817">
        <f t="shared" si="0"/>
        <v>0</v>
      </c>
      <c r="AI105" s="684"/>
      <c r="AJ105" s="682"/>
    </row>
    <row r="106" spans="1:36" ht="20.25" thickBot="1">
      <c r="A106" s="682"/>
      <c r="B106" s="1403"/>
      <c r="C106" s="461" t="s">
        <v>1341</v>
      </c>
      <c r="D106" s="819" t="s">
        <v>2204</v>
      </c>
      <c r="E106" s="819" t="s">
        <v>2675</v>
      </c>
      <c r="F106" s="171" t="s">
        <v>1343</v>
      </c>
      <c r="G106" s="170">
        <v>0.5</v>
      </c>
      <c r="H106" s="682"/>
      <c r="I106" s="682"/>
      <c r="J106" s="806" t="s">
        <v>2486</v>
      </c>
      <c r="K106" s="633" t="s">
        <v>1419</v>
      </c>
      <c r="L106" s="634" t="s">
        <v>2488</v>
      </c>
      <c r="M106" s="634"/>
      <c r="N106" s="634"/>
      <c r="O106" s="634"/>
      <c r="P106" s="634"/>
      <c r="Q106" s="815"/>
      <c r="R106" s="634"/>
      <c r="S106" s="634"/>
      <c r="T106" s="634"/>
      <c r="U106" s="634"/>
      <c r="V106" s="634"/>
      <c r="W106" s="634" t="s">
        <v>2488</v>
      </c>
      <c r="X106" s="815"/>
      <c r="Y106" s="815"/>
      <c r="Z106" s="634"/>
      <c r="AA106" s="634"/>
      <c r="AB106" s="809">
        <f>-ASM3BP_i_TSS.XSTO</f>
        <v>-0.6</v>
      </c>
      <c r="AC106" s="816"/>
      <c r="AD106" s="817">
        <f t="shared" si="0"/>
        <v>0</v>
      </c>
      <c r="AE106" s="818">
        <f t="shared" si="0"/>
        <v>0</v>
      </c>
      <c r="AF106" s="817">
        <f t="shared" si="0"/>
        <v>0</v>
      </c>
      <c r="AG106" s="818">
        <f t="shared" si="0"/>
        <v>0</v>
      </c>
      <c r="AH106" s="817">
        <f t="shared" si="0"/>
        <v>0</v>
      </c>
      <c r="AI106" s="684"/>
      <c r="AJ106" s="682"/>
    </row>
    <row r="107" spans="1:36" ht="16.5">
      <c r="A107" s="682"/>
      <c r="B107" s="682"/>
      <c r="C107" s="820"/>
      <c r="D107" s="683"/>
      <c r="E107" s="683"/>
      <c r="F107" s="683"/>
      <c r="G107" s="683"/>
      <c r="H107" s="682"/>
      <c r="I107" s="682"/>
      <c r="J107" s="806" t="s">
        <v>2493</v>
      </c>
      <c r="K107" s="633" t="s">
        <v>1422</v>
      </c>
      <c r="L107" s="634"/>
      <c r="M107" s="634"/>
      <c r="N107" s="634"/>
      <c r="O107" s="634">
        <f>-1/(ASM3BP_i_NOx.N2)</f>
        <v>-0.35</v>
      </c>
      <c r="P107" s="634">
        <f>1/(ASM3BP_i_NOx.N2)</f>
        <v>0.35</v>
      </c>
      <c r="Q107" s="815"/>
      <c r="R107" s="634">
        <f>ASM3BP_v_9_NO*ASM3BP_i_Charge_NOx</f>
        <v>0.024999999999999998</v>
      </c>
      <c r="S107" s="634"/>
      <c r="T107" s="634"/>
      <c r="U107" s="634"/>
      <c r="V107" s="634"/>
      <c r="W107" s="634" t="s">
        <v>2488</v>
      </c>
      <c r="X107" s="815"/>
      <c r="Y107" s="815"/>
      <c r="Z107" s="634"/>
      <c r="AA107" s="634"/>
      <c r="AB107" s="809">
        <f>-ASM3BP_i_TSS.XSTO</f>
        <v>-0.6</v>
      </c>
      <c r="AC107" s="816"/>
      <c r="AD107" s="817">
        <f t="shared" si="0"/>
        <v>-1.1102230246251565E-16</v>
      </c>
      <c r="AE107" s="818">
        <f t="shared" si="0"/>
        <v>0</v>
      </c>
      <c r="AF107" s="817">
        <f t="shared" si="0"/>
        <v>0</v>
      </c>
      <c r="AG107" s="818">
        <f t="shared" si="0"/>
        <v>0</v>
      </c>
      <c r="AH107" s="817">
        <f t="shared" si="0"/>
        <v>0</v>
      </c>
      <c r="AI107" s="684"/>
      <c r="AJ107" s="682"/>
    </row>
    <row r="108" spans="1:36" ht="16.5">
      <c r="A108" s="682"/>
      <c r="B108" s="682"/>
      <c r="C108" s="683"/>
      <c r="D108" s="683"/>
      <c r="E108" s="683"/>
      <c r="F108" s="683"/>
      <c r="G108" s="683"/>
      <c r="H108" s="682"/>
      <c r="I108" s="682"/>
      <c r="J108" s="806" t="s">
        <v>2499</v>
      </c>
      <c r="K108" s="633" t="s">
        <v>1560</v>
      </c>
      <c r="L108" s="634">
        <f>-(-ASM3BP_i_COD_NOx-ASM3BP_Y_AUT)/ASM3BP_Y_AUT</f>
        <v>-18.047619047619047</v>
      </c>
      <c r="M108" s="634"/>
      <c r="N108" s="634">
        <f>-1/ASM3BP_Y_AUT-ASM3BP_i_N.BM</f>
        <v>-4.236666666666667</v>
      </c>
      <c r="O108" s="634">
        <f>1/ASM3BP_Y_AUT</f>
        <v>4.166666666666667</v>
      </c>
      <c r="P108" s="634"/>
      <c r="Q108" s="815">
        <f>-ASM3BP_i_P.BM</f>
        <v>-0.014</v>
      </c>
      <c r="R108" s="634">
        <f>ASM3BP_v_10_NH4*ASM3BP_i_Charge_NHx+ASM3BP_v_10_NO*ASM3BP_i_Charge_NOx+ASM3BP_v_10_PO4*ASM3BP_i_Charge_PO4</f>
        <v>-0.5995606758832566</v>
      </c>
      <c r="S108" s="634"/>
      <c r="T108" s="634"/>
      <c r="U108" s="634"/>
      <c r="V108" s="634"/>
      <c r="W108" s="634"/>
      <c r="X108" s="815"/>
      <c r="Y108" s="815"/>
      <c r="Z108" s="635"/>
      <c r="AA108" s="635">
        <v>1</v>
      </c>
      <c r="AB108" s="821">
        <f>ASM3BP_i_TSS.BM</f>
        <v>0.9</v>
      </c>
      <c r="AC108" s="810"/>
      <c r="AD108" s="817">
        <f t="shared" si="0"/>
        <v>0</v>
      </c>
      <c r="AE108" s="818">
        <f t="shared" si="0"/>
        <v>-2.7755575615628914E-16</v>
      </c>
      <c r="AF108" s="817">
        <f t="shared" si="0"/>
        <v>0</v>
      </c>
      <c r="AG108" s="818">
        <f t="shared" si="0"/>
        <v>0</v>
      </c>
      <c r="AH108" s="817">
        <f t="shared" si="0"/>
        <v>0</v>
      </c>
      <c r="AI108" s="684"/>
      <c r="AJ108" s="682"/>
    </row>
    <row r="109" spans="1:36" ht="16.5">
      <c r="A109" s="682"/>
      <c r="B109" s="682"/>
      <c r="C109" s="683"/>
      <c r="D109" s="683"/>
      <c r="E109" s="683"/>
      <c r="F109" s="683"/>
      <c r="G109" s="683"/>
      <c r="H109" s="682"/>
      <c r="I109" s="682"/>
      <c r="J109" s="806" t="s">
        <v>2502</v>
      </c>
      <c r="K109" s="633" t="s">
        <v>1566</v>
      </c>
      <c r="L109" s="634">
        <f>-(1-ASM3BP_f_XI)</f>
        <v>-0.8</v>
      </c>
      <c r="M109" s="634"/>
      <c r="N109" s="634">
        <f>-ASM3BP_f_XI*ASM3BP_i_N.XI+ASM3BP_i_N.BM</f>
        <v>0.064</v>
      </c>
      <c r="O109" s="634"/>
      <c r="P109" s="634"/>
      <c r="Q109" s="815">
        <f>ASM3BP_i_P.BM-ASM3BP_f_XI*ASM3BP_i_P.XI</f>
        <v>0.012</v>
      </c>
      <c r="R109" s="634">
        <f>ASM3BP_v_11_NH4*ASM3BP_i_Charge_NHx+ASM3BP_v_11_PO4*ASM3BP_i_Charge_PO4</f>
        <v>0.003990783410138248</v>
      </c>
      <c r="S109" s="634"/>
      <c r="T109" s="634">
        <f>ASM3BP_f_XI</f>
        <v>0.2</v>
      </c>
      <c r="U109" s="634"/>
      <c r="V109" s="634"/>
      <c r="W109" s="634"/>
      <c r="X109" s="815"/>
      <c r="Y109" s="815"/>
      <c r="Z109" s="635"/>
      <c r="AA109" s="635">
        <v>-1</v>
      </c>
      <c r="AB109" s="821">
        <f>-ASM3BP_i_TSS.BM+ASM3BP_f_XI*ASM3BP_i_TSS.XI</f>
        <v>-0.75</v>
      </c>
      <c r="AC109" s="816"/>
      <c r="AD109" s="817">
        <f aca="true" t="shared" si="1" ref="AD109:AH121">$L109*AD$81+$M109*AD$82+$N109*AD$83+$O109*AD$84+$P109*AD$85+$Q109*AD$86+$R109*AD$87+$S109*AD$88+$T109*AD$89+$U109*AD$90+$V109*AD$91+$W109*AD$92+$X109*AD$93+$Y109*AD$94+$Z109*AD$95+$AA109*AD$96+$AB109*AD$97</f>
        <v>0</v>
      </c>
      <c r="AE109" s="818">
        <f t="shared" si="1"/>
        <v>0</v>
      </c>
      <c r="AF109" s="817">
        <f t="shared" si="1"/>
        <v>0</v>
      </c>
      <c r="AG109" s="818">
        <f t="shared" si="1"/>
        <v>0</v>
      </c>
      <c r="AH109" s="817">
        <f t="shared" si="1"/>
        <v>0</v>
      </c>
      <c r="AI109" s="684"/>
      <c r="AJ109" s="682"/>
    </row>
    <row r="110" spans="1:36" ht="16.5">
      <c r="A110" s="682"/>
      <c r="B110" s="682"/>
      <c r="C110" s="683"/>
      <c r="D110" s="683"/>
      <c r="E110" s="683"/>
      <c r="F110" s="683"/>
      <c r="G110" s="683"/>
      <c r="H110" s="682"/>
      <c r="I110" s="682"/>
      <c r="J110" s="806" t="s">
        <v>2082</v>
      </c>
      <c r="K110" s="633" t="s">
        <v>1569</v>
      </c>
      <c r="L110" s="634"/>
      <c r="M110" s="634"/>
      <c r="N110" s="634">
        <f>-ASM3BP_f_XI*ASM3BP_i_N.XI+ASM3BP_i_N.BM</f>
        <v>0.064</v>
      </c>
      <c r="O110" s="634">
        <f>-(1-ASM3BP_f_XI)/(ASM3BP_i_NOx.N2)</f>
        <v>-0.28</v>
      </c>
      <c r="P110" s="634">
        <f>(1-ASM3BP_f_XI)/(ASM3BP_i_NOx.N2)</f>
        <v>0.28</v>
      </c>
      <c r="Q110" s="815">
        <f>ASM3BP_i_P.BM-ASM3BP_f_XI*ASM3BP_i_P.XI</f>
        <v>0.012</v>
      </c>
      <c r="R110" s="634">
        <f>ASM3BP_v_12_NH4*ASM3BP_i_Charge_NHx+ASM3BP_v_12_NO*ASM3BP_i_Charge_NOx+ASM3BP_v_12_PO4*ASM3BP_i_Charge_PO4</f>
        <v>0.023990783410138248</v>
      </c>
      <c r="S110" s="634"/>
      <c r="T110" s="634">
        <f>ASM3BP_f_XI</f>
        <v>0.2</v>
      </c>
      <c r="U110" s="634"/>
      <c r="V110" s="634"/>
      <c r="W110" s="634"/>
      <c r="X110" s="815"/>
      <c r="Y110" s="815"/>
      <c r="Z110" s="635"/>
      <c r="AA110" s="635">
        <v>-1</v>
      </c>
      <c r="AB110" s="821">
        <f>-ASM3BP_i_TSS.BM+ASM3BP_f_XI*ASM3BP_i_TSS.XI</f>
        <v>-0.75</v>
      </c>
      <c r="AC110" s="816"/>
      <c r="AD110" s="817">
        <f t="shared" si="1"/>
        <v>0</v>
      </c>
      <c r="AE110" s="818">
        <f t="shared" si="1"/>
        <v>0</v>
      </c>
      <c r="AF110" s="817">
        <f t="shared" si="1"/>
        <v>0</v>
      </c>
      <c r="AG110" s="818">
        <f t="shared" si="1"/>
        <v>0</v>
      </c>
      <c r="AH110" s="817">
        <f t="shared" si="1"/>
        <v>0</v>
      </c>
      <c r="AI110" s="684"/>
      <c r="AJ110" s="682"/>
    </row>
    <row r="111" spans="1:36" ht="16.5">
      <c r="A111" s="682"/>
      <c r="B111" s="682"/>
      <c r="C111" s="683"/>
      <c r="D111" s="683"/>
      <c r="E111" s="683"/>
      <c r="F111" s="683"/>
      <c r="G111" s="683"/>
      <c r="H111" s="682"/>
      <c r="I111" s="682"/>
      <c r="J111" s="822" t="s">
        <v>2138</v>
      </c>
      <c r="K111" s="823" t="s">
        <v>1572</v>
      </c>
      <c r="L111" s="824"/>
      <c r="M111" s="824">
        <v>-1</v>
      </c>
      <c r="N111" s="824">
        <f>ASM3BP_i_N.SS</f>
        <v>0.03</v>
      </c>
      <c r="O111" s="824"/>
      <c r="P111" s="824"/>
      <c r="Q111" s="824">
        <f>ASM3BP_Y_PO4+ASM3BP_i_P.SS</f>
        <v>0.35</v>
      </c>
      <c r="R111" s="825">
        <f>ASM3BP_v_P01_NH4*ASM3BP_i_Charge_NHx+ASM3BP_v_P01_PO4*ASM3BP_i_Charge_PO4+ASM3BP_v_P01_PP*ASM3BP_i_Charge_XPAO.PP</f>
        <v>-0.003502304147465437</v>
      </c>
      <c r="S111" s="824"/>
      <c r="T111" s="824"/>
      <c r="U111" s="824"/>
      <c r="V111" s="824"/>
      <c r="W111" s="824"/>
      <c r="X111" s="824"/>
      <c r="Y111" s="824">
        <f>-ASM3BP_Y_PO4</f>
        <v>-0.35</v>
      </c>
      <c r="Z111" s="824">
        <v>1</v>
      </c>
      <c r="AA111" s="824"/>
      <c r="AB111" s="826">
        <f>ASM3BP_i_TSS.XSTO-ASM3BP_i_TSS.XPP*ASM3BP_Y_PO4</f>
        <v>-0.5304999999999999</v>
      </c>
      <c r="AC111" s="827"/>
      <c r="AD111" s="817">
        <f t="shared" si="1"/>
        <v>0</v>
      </c>
      <c r="AE111" s="818">
        <f t="shared" si="1"/>
        <v>0</v>
      </c>
      <c r="AF111" s="817">
        <f t="shared" si="1"/>
        <v>0</v>
      </c>
      <c r="AG111" s="818">
        <f t="shared" si="1"/>
        <v>0</v>
      </c>
      <c r="AH111" s="817">
        <f t="shared" si="1"/>
        <v>0</v>
      </c>
      <c r="AI111" s="684"/>
      <c r="AJ111" s="682"/>
    </row>
    <row r="112" spans="1:36" ht="16.5">
      <c r="A112" s="682"/>
      <c r="B112" s="682"/>
      <c r="C112" s="683"/>
      <c r="D112" s="683"/>
      <c r="E112" s="683"/>
      <c r="F112" s="683"/>
      <c r="G112" s="683"/>
      <c r="H112" s="682"/>
      <c r="I112" s="682"/>
      <c r="J112" s="822" t="s">
        <v>2140</v>
      </c>
      <c r="K112" s="823" t="s">
        <v>580</v>
      </c>
      <c r="L112" s="824">
        <f>-ASM3BP_Y_PHA</f>
        <v>-0.2</v>
      </c>
      <c r="M112" s="824"/>
      <c r="N112" s="824"/>
      <c r="O112" s="824"/>
      <c r="P112" s="824"/>
      <c r="Q112" s="824">
        <v>-1</v>
      </c>
      <c r="R112" s="825">
        <f>ASM3BP_v_P02_PO4*ASM3BP_i_Charge_PO4+ASM3BP_v_P02_PP*ASM3BP_i_Charge_XPAO.PP</f>
        <v>0.016129032258064516</v>
      </c>
      <c r="S112" s="824"/>
      <c r="T112" s="824"/>
      <c r="U112" s="824"/>
      <c r="V112" s="824"/>
      <c r="W112" s="824"/>
      <c r="X112" s="824"/>
      <c r="Y112" s="824">
        <v>1</v>
      </c>
      <c r="Z112" s="824">
        <f>-ASM3BP_Y_PHA</f>
        <v>-0.2</v>
      </c>
      <c r="AA112" s="824"/>
      <c r="AB112" s="828">
        <f>-ASM3BP_Y_PHA*ASM3BP_i_TSS.XSTO+ASM3BP_i_TSS.XPP</f>
        <v>3.11</v>
      </c>
      <c r="AC112" s="827"/>
      <c r="AD112" s="817">
        <f t="shared" si="1"/>
        <v>0</v>
      </c>
      <c r="AE112" s="818">
        <f t="shared" si="1"/>
        <v>0</v>
      </c>
      <c r="AF112" s="817">
        <f t="shared" si="1"/>
        <v>0</v>
      </c>
      <c r="AG112" s="818">
        <f t="shared" si="1"/>
        <v>0</v>
      </c>
      <c r="AH112" s="817">
        <f t="shared" si="1"/>
        <v>0</v>
      </c>
      <c r="AI112" s="684"/>
      <c r="AJ112" s="682"/>
    </row>
    <row r="113" spans="1:36" ht="16.5">
      <c r="A113" s="682"/>
      <c r="B113" s="682"/>
      <c r="C113" s="683"/>
      <c r="D113" s="683"/>
      <c r="E113" s="683"/>
      <c r="F113" s="683"/>
      <c r="G113" s="683"/>
      <c r="H113" s="682"/>
      <c r="I113" s="682"/>
      <c r="J113" s="822" t="s">
        <v>2141</v>
      </c>
      <c r="K113" s="823" t="s">
        <v>585</v>
      </c>
      <c r="L113" s="824"/>
      <c r="M113" s="824"/>
      <c r="N113" s="824"/>
      <c r="O113" s="824">
        <f>-ASM3BP_Y_PHA/ASM3BP_i_NOx.N2</f>
        <v>-0.07</v>
      </c>
      <c r="P113" s="824">
        <f>ASM3BP_Y_PHA/ASM3BP_i_NOx.N2</f>
        <v>0.07</v>
      </c>
      <c r="Q113" s="824">
        <v>-1</v>
      </c>
      <c r="R113" s="825">
        <f>ASM3BP_v_P03_NO*ASM3BP_i_Charge_NOx+ASM3BP_v_P03_PO4*ASM3BP_i_Charge_PO4+ASM3BP_v_P03_PP*ASM3BP_i_Charge_XPAO.PP</f>
        <v>0.021129032258064513</v>
      </c>
      <c r="S113" s="824"/>
      <c r="T113" s="824"/>
      <c r="U113" s="824"/>
      <c r="V113" s="824"/>
      <c r="W113" s="824"/>
      <c r="X113" s="824"/>
      <c r="Y113" s="824">
        <v>1</v>
      </c>
      <c r="Z113" s="824">
        <f>-ASM3BP_Y_PHA</f>
        <v>-0.2</v>
      </c>
      <c r="AA113" s="824"/>
      <c r="AB113" s="828">
        <f>-ASM3BP_Y_PHA*ASM3BP_i_TSS.XSTO+ASM3BP_i_TSS.XPP</f>
        <v>3.11</v>
      </c>
      <c r="AC113" s="827"/>
      <c r="AD113" s="817">
        <f t="shared" si="1"/>
        <v>0</v>
      </c>
      <c r="AE113" s="818">
        <f t="shared" si="1"/>
        <v>0</v>
      </c>
      <c r="AF113" s="817">
        <f t="shared" si="1"/>
        <v>0</v>
      </c>
      <c r="AG113" s="818">
        <f t="shared" si="1"/>
        <v>0</v>
      </c>
      <c r="AH113" s="817">
        <f t="shared" si="1"/>
        <v>0</v>
      </c>
      <c r="AI113" s="684"/>
      <c r="AJ113" s="682"/>
    </row>
    <row r="114" spans="1:36" ht="16.5">
      <c r="A114" s="682"/>
      <c r="B114" s="682"/>
      <c r="C114" s="683"/>
      <c r="D114" s="683"/>
      <c r="E114" s="683"/>
      <c r="F114" s="683"/>
      <c r="G114" s="683"/>
      <c r="H114" s="682"/>
      <c r="I114" s="682"/>
      <c r="J114" s="822" t="s">
        <v>2142</v>
      </c>
      <c r="K114" s="823" t="s">
        <v>590</v>
      </c>
      <c r="L114" s="829">
        <f>-(1-ASM3BP_Y_PAO.O2)/ASM3BP_Y_PAO.O2</f>
        <v>-0.6666666666666667</v>
      </c>
      <c r="M114" s="824"/>
      <c r="N114" s="824">
        <f>-ASM3BP_i_N.BM</f>
        <v>-0.07</v>
      </c>
      <c r="O114" s="824"/>
      <c r="P114" s="824"/>
      <c r="Q114" s="824">
        <f>-ASM3BP_i_P.BM</f>
        <v>-0.014</v>
      </c>
      <c r="R114" s="825">
        <f>ASM3BP_v_P04_NH4*ASM3BP_i_Charge_NHx+ASM3BP_v_P04_PO4*ASM3BP_i_Charge_PO4</f>
        <v>-0.00432258064516129</v>
      </c>
      <c r="S114" s="824"/>
      <c r="T114" s="824"/>
      <c r="U114" s="824"/>
      <c r="V114" s="824"/>
      <c r="W114" s="824"/>
      <c r="X114" s="824">
        <v>1</v>
      </c>
      <c r="Y114" s="824"/>
      <c r="Z114" s="829">
        <f>-1/ASM3BP_Y_PAO.O2</f>
        <v>-1.6666666666666667</v>
      </c>
      <c r="AA114" s="824"/>
      <c r="AB114" s="828">
        <f>-(1/ASM3BP_Y_PAO.O2)*ASM3BP_i_TSS.XSTO+ASM3BP_i_TSS.BM</f>
        <v>-0.09999999999999998</v>
      </c>
      <c r="AC114" s="827"/>
      <c r="AD114" s="817">
        <f t="shared" si="1"/>
        <v>0</v>
      </c>
      <c r="AE114" s="818">
        <f t="shared" si="1"/>
        <v>0</v>
      </c>
      <c r="AF114" s="817">
        <f t="shared" si="1"/>
        <v>0</v>
      </c>
      <c r="AG114" s="818">
        <f t="shared" si="1"/>
        <v>0</v>
      </c>
      <c r="AH114" s="817">
        <f t="shared" si="1"/>
        <v>0</v>
      </c>
      <c r="AI114" s="684"/>
      <c r="AJ114" s="682"/>
    </row>
    <row r="115" spans="1:36" ht="16.5">
      <c r="A115" s="682"/>
      <c r="B115" s="682"/>
      <c r="C115" s="683"/>
      <c r="D115" s="683"/>
      <c r="E115" s="683"/>
      <c r="F115" s="683"/>
      <c r="G115" s="683"/>
      <c r="H115" s="682"/>
      <c r="I115" s="682"/>
      <c r="J115" s="822" t="s">
        <v>2143</v>
      </c>
      <c r="K115" s="823" t="s">
        <v>596</v>
      </c>
      <c r="L115" s="824"/>
      <c r="M115" s="824"/>
      <c r="N115" s="824">
        <f>-ASM3BP_i_N.BM</f>
        <v>-0.07</v>
      </c>
      <c r="O115" s="829">
        <f>-(1-ASM3BP_Y_PAO.NO)/ASM3BP_Y_PAO.NO*(1/ASM3BP_i_NOx.N2)</f>
        <v>-0.35</v>
      </c>
      <c r="P115" s="829">
        <f>(1-ASM3BP_Y_PAO.NO)/ASM3BP_Y_PAO.NO*(1/ASM3BP_i_NOx.N2)</f>
        <v>0.35</v>
      </c>
      <c r="Q115" s="824">
        <f>-ASM3BP_i_P.BM</f>
        <v>-0.014</v>
      </c>
      <c r="R115" s="825">
        <f>ASM3BP_v_P05_NH4*ASM3BP_i_Charge_NHx+ASM3BP_v_P05_NO*ASM3BP_i_Charge_NOx+ASM3BP_v_P05_PO4*ASM3BP_i_Charge_PO4</f>
        <v>0.020677419354838706</v>
      </c>
      <c r="S115" s="824"/>
      <c r="T115" s="824"/>
      <c r="U115" s="824"/>
      <c r="V115" s="824"/>
      <c r="W115" s="824"/>
      <c r="X115" s="824">
        <v>1</v>
      </c>
      <c r="Y115" s="824"/>
      <c r="Z115" s="824">
        <f>-1/ASM3BP_Y_PAO.NO</f>
        <v>-2</v>
      </c>
      <c r="AA115" s="824"/>
      <c r="AB115" s="828">
        <f>-(1/ASM3BP_Y_PAO.NO)*ASM3BP_i_TSS.XSTO+ASM3BP_i_TSS.BM</f>
        <v>-0.29999999999999993</v>
      </c>
      <c r="AC115" s="827"/>
      <c r="AD115" s="817">
        <f t="shared" si="1"/>
        <v>0</v>
      </c>
      <c r="AE115" s="818">
        <f t="shared" si="1"/>
        <v>0</v>
      </c>
      <c r="AF115" s="817">
        <f t="shared" si="1"/>
        <v>0</v>
      </c>
      <c r="AG115" s="818">
        <f t="shared" si="1"/>
        <v>0</v>
      </c>
      <c r="AH115" s="817">
        <f t="shared" si="1"/>
        <v>0</v>
      </c>
      <c r="AI115" s="684"/>
      <c r="AJ115" s="682"/>
    </row>
    <row r="116" spans="1:36" ht="16.5">
      <c r="A116" s="682"/>
      <c r="B116" s="682"/>
      <c r="C116" s="683"/>
      <c r="D116" s="683"/>
      <c r="E116" s="683"/>
      <c r="F116" s="683"/>
      <c r="G116" s="683"/>
      <c r="H116" s="682"/>
      <c r="I116" s="682"/>
      <c r="J116" s="822" t="s">
        <v>2145</v>
      </c>
      <c r="K116" s="823" t="s">
        <v>603</v>
      </c>
      <c r="L116" s="824">
        <f>-(1-ASM3BP_f_XI)</f>
        <v>-0.8</v>
      </c>
      <c r="M116" s="824"/>
      <c r="N116" s="824">
        <f>-ASM3BP_f_XI*ASM3BP_i_N.XI+ASM3BP_i_N.BM</f>
        <v>0.064</v>
      </c>
      <c r="O116" s="824"/>
      <c r="P116" s="824"/>
      <c r="Q116" s="824">
        <f>-ASM3BP_f_XI*ASM3BP_i_P.XI+ASM3BP_i_P.BM</f>
        <v>0.012</v>
      </c>
      <c r="R116" s="825">
        <f>ASM3BP_v_P06_NH4*ASM3BP_i_Charge_NHx+ASM3BP_v_P06_PO4*ASM3BP_i_Charge_PO4</f>
        <v>0.003990783410138248</v>
      </c>
      <c r="S116" s="824"/>
      <c r="T116" s="824">
        <f>ASM3BP_f_XI</f>
        <v>0.2</v>
      </c>
      <c r="U116" s="824"/>
      <c r="V116" s="824"/>
      <c r="W116" s="824"/>
      <c r="X116" s="824">
        <v>-1</v>
      </c>
      <c r="Y116" s="824"/>
      <c r="Z116" s="824"/>
      <c r="AA116" s="824"/>
      <c r="AB116" s="828">
        <f>-ASM3BP_i_TSS.BM+ASM3BP_f_XI*ASM3BP_i_TSS.XI</f>
        <v>-0.75</v>
      </c>
      <c r="AC116" s="827"/>
      <c r="AD116" s="817">
        <f t="shared" si="1"/>
        <v>0</v>
      </c>
      <c r="AE116" s="818">
        <f t="shared" si="1"/>
        <v>0</v>
      </c>
      <c r="AF116" s="817">
        <f t="shared" si="1"/>
        <v>0</v>
      </c>
      <c r="AG116" s="818">
        <f t="shared" si="1"/>
        <v>0</v>
      </c>
      <c r="AH116" s="817">
        <f t="shared" si="1"/>
        <v>0</v>
      </c>
      <c r="AI116" s="684"/>
      <c r="AJ116" s="682"/>
    </row>
    <row r="117" spans="1:36" ht="16.5">
      <c r="A117" s="682"/>
      <c r="B117" s="682"/>
      <c r="C117" s="683"/>
      <c r="D117" s="683"/>
      <c r="E117" s="683"/>
      <c r="F117" s="683"/>
      <c r="G117" s="683"/>
      <c r="H117" s="682"/>
      <c r="I117" s="682"/>
      <c r="J117" s="822" t="s">
        <v>2146</v>
      </c>
      <c r="K117" s="823" t="s">
        <v>607</v>
      </c>
      <c r="L117" s="824"/>
      <c r="M117" s="824"/>
      <c r="N117" s="824">
        <f>-ASM3BP_f_XI*ASM3BP_i_N.XI+ASM3BP_i_N.BM</f>
        <v>0.064</v>
      </c>
      <c r="O117" s="824">
        <f>-(1-ASM3BP_f_XI)/ASM3BP_i_NOx.N2</f>
        <v>-0.28</v>
      </c>
      <c r="P117" s="824">
        <f>(1-ASM3BP_f_XI)/ASM3BP_i_NOx.N2</f>
        <v>0.28</v>
      </c>
      <c r="Q117" s="824">
        <f>-ASM3BP_f_XI*ASM3BP_i_P.XI+ASM3BP_i_P.BM</f>
        <v>0.012</v>
      </c>
      <c r="R117" s="825">
        <f>ASM3BP_v_P07_NH4*ASM3BP_i_Charge_NHx+ASM3BP_v_P07_NO*ASM3BP_i_Charge_NOx+ASM3BP_v_P07_PO4*ASM3BP_i_Charge_PO4</f>
        <v>0.023990783410138248</v>
      </c>
      <c r="S117" s="824"/>
      <c r="T117" s="824">
        <f>ASM3BP_f_XI</f>
        <v>0.2</v>
      </c>
      <c r="U117" s="824"/>
      <c r="V117" s="824"/>
      <c r="W117" s="824"/>
      <c r="X117" s="824">
        <v>-1</v>
      </c>
      <c r="Y117" s="824"/>
      <c r="Z117" s="824"/>
      <c r="AA117" s="824"/>
      <c r="AB117" s="828">
        <f>-ASM3BP_i_TSS.BM+ASM3BP_f_XI*ASM3BP_i_TSS.XI</f>
        <v>-0.75</v>
      </c>
      <c r="AC117" s="827"/>
      <c r="AD117" s="817">
        <f t="shared" si="1"/>
        <v>0</v>
      </c>
      <c r="AE117" s="818">
        <f t="shared" si="1"/>
        <v>0</v>
      </c>
      <c r="AF117" s="817">
        <f t="shared" si="1"/>
        <v>0</v>
      </c>
      <c r="AG117" s="818">
        <f t="shared" si="1"/>
        <v>0</v>
      </c>
      <c r="AH117" s="817">
        <f t="shared" si="1"/>
        <v>0</v>
      </c>
      <c r="AI117" s="684"/>
      <c r="AJ117" s="682"/>
    </row>
    <row r="118" spans="1:36" ht="16.5">
      <c r="A118" s="682"/>
      <c r="B118" s="682"/>
      <c r="C118" s="683"/>
      <c r="D118" s="683"/>
      <c r="E118" s="683"/>
      <c r="F118" s="683"/>
      <c r="G118" s="683"/>
      <c r="H118" s="682"/>
      <c r="I118" s="682"/>
      <c r="J118" s="822" t="s">
        <v>2148</v>
      </c>
      <c r="K118" s="823" t="s">
        <v>612</v>
      </c>
      <c r="L118" s="824"/>
      <c r="M118" s="824"/>
      <c r="N118" s="824"/>
      <c r="O118" s="824"/>
      <c r="P118" s="824"/>
      <c r="Q118" s="824">
        <v>1</v>
      </c>
      <c r="R118" s="825">
        <f>ASM3BP_v_P08_PO4*ASM3BP_i_Charge_PO4+ASM3BP_v_P08_PP*ASM3BP_i_Charge_XPAO.PP</f>
        <v>-0.016129032258064516</v>
      </c>
      <c r="S118" s="824"/>
      <c r="T118" s="824"/>
      <c r="U118" s="824"/>
      <c r="V118" s="824"/>
      <c r="W118" s="824"/>
      <c r="X118" s="824"/>
      <c r="Y118" s="824">
        <v>-1</v>
      </c>
      <c r="Z118" s="824"/>
      <c r="AA118" s="824"/>
      <c r="AB118" s="828">
        <f>-ASM3BP_i_TSS.XPP</f>
        <v>-3.23</v>
      </c>
      <c r="AC118" s="827"/>
      <c r="AD118" s="817">
        <f t="shared" si="1"/>
        <v>0</v>
      </c>
      <c r="AE118" s="818">
        <f t="shared" si="1"/>
        <v>0</v>
      </c>
      <c r="AF118" s="817">
        <f t="shared" si="1"/>
        <v>0</v>
      </c>
      <c r="AG118" s="818">
        <f t="shared" si="1"/>
        <v>0</v>
      </c>
      <c r="AH118" s="817">
        <f t="shared" si="1"/>
        <v>0</v>
      </c>
      <c r="AI118" s="684"/>
      <c r="AJ118" s="682"/>
    </row>
    <row r="119" spans="1:36" ht="16.5">
      <c r="A119" s="682"/>
      <c r="B119" s="682"/>
      <c r="C119" s="683"/>
      <c r="D119" s="683"/>
      <c r="E119" s="683"/>
      <c r="F119" s="683"/>
      <c r="G119" s="683"/>
      <c r="H119" s="682"/>
      <c r="I119" s="682"/>
      <c r="J119" s="822" t="s">
        <v>2149</v>
      </c>
      <c r="K119" s="823" t="s">
        <v>616</v>
      </c>
      <c r="L119" s="824"/>
      <c r="M119" s="824"/>
      <c r="N119" s="824"/>
      <c r="O119" s="824"/>
      <c r="P119" s="824"/>
      <c r="Q119" s="824">
        <v>1</v>
      </c>
      <c r="R119" s="825">
        <f>ASM3BP_v_P08_PO4*ASM3BP_i_Charge_PO4+ASM3BP_v_P08_PP*ASM3BP_i_Charge_XPAO.PP</f>
        <v>-0.016129032258064516</v>
      </c>
      <c r="S119" s="824"/>
      <c r="T119" s="824"/>
      <c r="U119" s="824"/>
      <c r="V119" s="824"/>
      <c r="W119" s="824"/>
      <c r="X119" s="824"/>
      <c r="Y119" s="824">
        <v>-1</v>
      </c>
      <c r="Z119" s="824"/>
      <c r="AA119" s="824"/>
      <c r="AB119" s="828">
        <f>-ASM3BP_i_TSS.XPP</f>
        <v>-3.23</v>
      </c>
      <c r="AC119" s="827"/>
      <c r="AD119" s="817">
        <f t="shared" si="1"/>
        <v>0</v>
      </c>
      <c r="AE119" s="818">
        <f t="shared" si="1"/>
        <v>0</v>
      </c>
      <c r="AF119" s="817">
        <f t="shared" si="1"/>
        <v>0</v>
      </c>
      <c r="AG119" s="818">
        <f t="shared" si="1"/>
        <v>0</v>
      </c>
      <c r="AH119" s="817">
        <f t="shared" si="1"/>
        <v>0</v>
      </c>
      <c r="AI119" s="684"/>
      <c r="AJ119" s="682"/>
    </row>
    <row r="120" spans="1:36" ht="16.5">
      <c r="A120" s="682"/>
      <c r="B120" s="682"/>
      <c r="C120" s="683"/>
      <c r="D120" s="683"/>
      <c r="E120" s="683"/>
      <c r="F120" s="683"/>
      <c r="G120" s="683"/>
      <c r="H120" s="682"/>
      <c r="I120" s="682"/>
      <c r="J120" s="822" t="s">
        <v>2150</v>
      </c>
      <c r="K120" s="823" t="s">
        <v>618</v>
      </c>
      <c r="L120" s="824">
        <v>-1</v>
      </c>
      <c r="M120" s="824"/>
      <c r="N120" s="824"/>
      <c r="O120" s="824"/>
      <c r="P120" s="824"/>
      <c r="Q120" s="824"/>
      <c r="R120" s="825"/>
      <c r="S120" s="824"/>
      <c r="T120" s="824"/>
      <c r="U120" s="824"/>
      <c r="V120" s="824"/>
      <c r="W120" s="824"/>
      <c r="X120" s="824"/>
      <c r="Y120" s="824"/>
      <c r="Z120" s="824">
        <v>-1</v>
      </c>
      <c r="AA120" s="824"/>
      <c r="AB120" s="828">
        <f>-ASM3BP_i_TSS.XSTO</f>
        <v>-0.6</v>
      </c>
      <c r="AC120" s="827"/>
      <c r="AD120" s="817">
        <f t="shared" si="1"/>
        <v>0</v>
      </c>
      <c r="AE120" s="818">
        <f t="shared" si="1"/>
        <v>0</v>
      </c>
      <c r="AF120" s="817">
        <f t="shared" si="1"/>
        <v>0</v>
      </c>
      <c r="AG120" s="818">
        <f t="shared" si="1"/>
        <v>0</v>
      </c>
      <c r="AH120" s="817">
        <f t="shared" si="1"/>
        <v>0</v>
      </c>
      <c r="AI120" s="684"/>
      <c r="AJ120" s="682"/>
    </row>
    <row r="121" spans="1:36" ht="17.25" thickBot="1">
      <c r="A121" s="682"/>
      <c r="B121" s="682"/>
      <c r="C121" s="683"/>
      <c r="D121" s="683"/>
      <c r="E121" s="683"/>
      <c r="F121" s="683"/>
      <c r="G121" s="683"/>
      <c r="H121" s="682"/>
      <c r="I121" s="682"/>
      <c r="J121" s="830" t="s">
        <v>2151</v>
      </c>
      <c r="K121" s="831" t="s">
        <v>621</v>
      </c>
      <c r="L121" s="832"/>
      <c r="M121" s="832"/>
      <c r="N121" s="832"/>
      <c r="O121" s="832">
        <f>-1/ASM3BP_i_NOx.N2</f>
        <v>-0.35</v>
      </c>
      <c r="P121" s="832">
        <f>1/ASM3BP_i_NOx.N2</f>
        <v>0.35</v>
      </c>
      <c r="Q121" s="832"/>
      <c r="R121" s="833">
        <f>ASM3BP_v_P11_NO*ASM3BP_i_Charge_NOx</f>
        <v>0.024999999999999998</v>
      </c>
      <c r="S121" s="832"/>
      <c r="T121" s="832"/>
      <c r="U121" s="832"/>
      <c r="V121" s="832"/>
      <c r="W121" s="832"/>
      <c r="X121" s="832"/>
      <c r="Y121" s="832"/>
      <c r="Z121" s="832">
        <v>-1</v>
      </c>
      <c r="AA121" s="832"/>
      <c r="AB121" s="834">
        <f>-ASM3BP_i_TSS.XSTO</f>
        <v>-0.6</v>
      </c>
      <c r="AC121" s="827"/>
      <c r="AD121" s="835">
        <f t="shared" si="1"/>
        <v>-1.1102230246251565E-16</v>
      </c>
      <c r="AE121" s="836">
        <f t="shared" si="1"/>
        <v>0</v>
      </c>
      <c r="AF121" s="835">
        <f t="shared" si="1"/>
        <v>0</v>
      </c>
      <c r="AG121" s="836">
        <f t="shared" si="1"/>
        <v>0</v>
      </c>
      <c r="AH121" s="835">
        <f t="shared" si="1"/>
        <v>0</v>
      </c>
      <c r="AI121" s="684"/>
      <c r="AJ121" s="682"/>
    </row>
    <row r="122" spans="1:36" ht="12.75">
      <c r="A122" s="682"/>
      <c r="B122" s="682"/>
      <c r="C122" s="683"/>
      <c r="D122" s="683"/>
      <c r="E122" s="683"/>
      <c r="F122" s="683"/>
      <c r="G122" s="683"/>
      <c r="H122" s="682"/>
      <c r="I122" s="682"/>
      <c r="J122" s="837"/>
      <c r="K122" s="837"/>
      <c r="L122" s="794"/>
      <c r="M122" s="794"/>
      <c r="N122" s="794"/>
      <c r="O122" s="794"/>
      <c r="P122" s="794"/>
      <c r="Q122" s="794"/>
      <c r="R122" s="794"/>
      <c r="S122" s="794"/>
      <c r="T122" s="794"/>
      <c r="U122" s="794"/>
      <c r="V122" s="794"/>
      <c r="W122" s="794"/>
      <c r="X122" s="794"/>
      <c r="Y122" s="794"/>
      <c r="Z122" s="794"/>
      <c r="AA122" s="794"/>
      <c r="AB122" s="794"/>
      <c r="AC122" s="794"/>
      <c r="AD122" s="794"/>
      <c r="AE122" s="794"/>
      <c r="AF122" s="794"/>
      <c r="AG122" s="794"/>
      <c r="AH122" s="794"/>
      <c r="AI122" s="684"/>
      <c r="AJ122" s="682"/>
    </row>
    <row r="123" spans="1:36" ht="13.5" thickBot="1">
      <c r="A123" s="682"/>
      <c r="B123" s="682"/>
      <c r="C123" s="683"/>
      <c r="D123" s="683"/>
      <c r="E123" s="683"/>
      <c r="F123" s="683"/>
      <c r="G123" s="683"/>
      <c r="H123" s="682"/>
      <c r="I123" s="682"/>
      <c r="J123" s="795"/>
      <c r="K123" s="795"/>
      <c r="L123" s="795"/>
      <c r="M123" s="795"/>
      <c r="N123" s="795"/>
      <c r="O123" s="795"/>
      <c r="P123" s="795"/>
      <c r="Q123" s="795"/>
      <c r="R123" s="838"/>
      <c r="S123" s="795"/>
      <c r="T123" s="795"/>
      <c r="U123" s="795"/>
      <c r="V123" s="795"/>
      <c r="W123" s="795"/>
      <c r="X123" s="795"/>
      <c r="Y123" s="795"/>
      <c r="Z123" s="795"/>
      <c r="AA123" s="795"/>
      <c r="AB123" s="795"/>
      <c r="AC123" s="795"/>
      <c r="AD123" s="795"/>
      <c r="AE123" s="795"/>
      <c r="AF123" s="795"/>
      <c r="AG123" s="795"/>
      <c r="AH123" s="795"/>
      <c r="AI123" s="684"/>
      <c r="AJ123" s="682"/>
    </row>
    <row r="124" spans="1:36" ht="30.75" thickBot="1">
      <c r="A124" s="682"/>
      <c r="B124" s="682"/>
      <c r="C124" s="683"/>
      <c r="D124" s="683"/>
      <c r="E124" s="683"/>
      <c r="F124" s="683"/>
      <c r="G124" s="683"/>
      <c r="H124" s="682"/>
      <c r="I124" s="682"/>
      <c r="J124" s="1331" t="s">
        <v>2421</v>
      </c>
      <c r="K124" s="1332"/>
      <c r="L124" s="1332"/>
      <c r="M124" s="1332"/>
      <c r="N124" s="1332"/>
      <c r="O124" s="1332"/>
      <c r="P124" s="1332"/>
      <c r="Q124" s="1332"/>
      <c r="R124" s="1332"/>
      <c r="S124" s="1332"/>
      <c r="T124" s="1332"/>
      <c r="U124" s="1332"/>
      <c r="V124" s="1332"/>
      <c r="W124" s="1332"/>
      <c r="X124" s="1332"/>
      <c r="Y124" s="1332"/>
      <c r="Z124" s="1332"/>
      <c r="AA124" s="1332"/>
      <c r="AB124" s="1332"/>
      <c r="AC124" s="1332"/>
      <c r="AD124" s="1332"/>
      <c r="AE124" s="1332"/>
      <c r="AF124" s="1332"/>
      <c r="AG124" s="1332"/>
      <c r="AH124" s="1333"/>
      <c r="AI124" s="684"/>
      <c r="AJ124" s="682"/>
    </row>
    <row r="125" spans="1:36" ht="14.25">
      <c r="A125" s="682"/>
      <c r="B125" s="682"/>
      <c r="C125" s="683"/>
      <c r="D125" s="683"/>
      <c r="E125" s="683"/>
      <c r="F125" s="683"/>
      <c r="G125" s="683"/>
      <c r="H125" s="682"/>
      <c r="I125" s="682"/>
      <c r="J125" s="8"/>
      <c r="K125" s="8"/>
      <c r="L125" s="8"/>
      <c r="M125" s="8"/>
      <c r="N125" s="8"/>
      <c r="O125" s="8"/>
      <c r="P125" s="8"/>
      <c r="Q125" s="8"/>
      <c r="R125" s="8"/>
      <c r="S125" s="8"/>
      <c r="T125" s="8"/>
      <c r="U125" s="8"/>
      <c r="V125" s="8"/>
      <c r="W125" s="8"/>
      <c r="X125" s="8"/>
      <c r="Y125" s="9"/>
      <c r="Z125" s="9"/>
      <c r="AA125" s="9"/>
      <c r="AB125" s="9"/>
      <c r="AC125" s="9"/>
      <c r="AD125" s="795"/>
      <c r="AE125" s="795"/>
      <c r="AF125" s="795"/>
      <c r="AG125" s="795"/>
      <c r="AH125" s="795"/>
      <c r="AI125" s="684"/>
      <c r="AJ125" s="682"/>
    </row>
    <row r="126" spans="1:36" ht="18.75" thickBot="1">
      <c r="A126" s="682"/>
      <c r="B126" s="682"/>
      <c r="C126" s="683"/>
      <c r="D126" s="683"/>
      <c r="E126" s="683"/>
      <c r="F126" s="683"/>
      <c r="G126" s="683"/>
      <c r="H126" s="682"/>
      <c r="I126" s="682"/>
      <c r="J126" s="8"/>
      <c r="K126" s="8"/>
      <c r="L126" s="8"/>
      <c r="M126" s="1334" t="s">
        <v>2422</v>
      </c>
      <c r="N126" s="1334"/>
      <c r="O126" s="1334"/>
      <c r="P126" s="1334"/>
      <c r="Q126" s="1334"/>
      <c r="R126" s="1334"/>
      <c r="S126" s="1334" t="s">
        <v>2423</v>
      </c>
      <c r="T126" s="1334"/>
      <c r="U126" s="1334"/>
      <c r="V126" s="1334"/>
      <c r="W126" s="1334"/>
      <c r="X126" s="8"/>
      <c r="Y126" s="9"/>
      <c r="Z126" s="9"/>
      <c r="AA126" s="9"/>
      <c r="AB126" s="9"/>
      <c r="AC126" s="9"/>
      <c r="AD126" s="795"/>
      <c r="AE126" s="795"/>
      <c r="AF126" s="795"/>
      <c r="AG126" s="795"/>
      <c r="AH126" s="795"/>
      <c r="AI126" s="684"/>
      <c r="AJ126" s="682"/>
    </row>
    <row r="127" spans="1:36" ht="15" thickBot="1">
      <c r="A127" s="682"/>
      <c r="B127" s="682"/>
      <c r="C127" s="683"/>
      <c r="D127" s="683"/>
      <c r="E127" s="683"/>
      <c r="F127" s="683"/>
      <c r="G127" s="683"/>
      <c r="H127" s="682"/>
      <c r="I127" s="682"/>
      <c r="J127" s="8"/>
      <c r="K127" s="8"/>
      <c r="L127" s="221"/>
      <c r="M127" s="1328" t="s">
        <v>2424</v>
      </c>
      <c r="N127" s="1329"/>
      <c r="O127" s="1329"/>
      <c r="P127" s="1329"/>
      <c r="Q127" s="1329"/>
      <c r="R127" s="1329"/>
      <c r="S127" s="1329" t="s">
        <v>2425</v>
      </c>
      <c r="T127" s="1329"/>
      <c r="U127" s="1329"/>
      <c r="V127" s="1329"/>
      <c r="W127" s="1329"/>
      <c r="X127" s="8"/>
      <c r="Y127" s="9"/>
      <c r="Z127" s="9"/>
      <c r="AA127" s="9"/>
      <c r="AB127" s="9"/>
      <c r="AC127" s="9"/>
      <c r="AD127" s="795"/>
      <c r="AE127" s="795"/>
      <c r="AF127" s="795"/>
      <c r="AG127" s="795"/>
      <c r="AH127" s="795"/>
      <c r="AI127" s="684"/>
      <c r="AJ127" s="682"/>
    </row>
    <row r="128" spans="1:36" ht="15" thickBot="1">
      <c r="A128" s="682"/>
      <c r="B128" s="682"/>
      <c r="C128" s="683"/>
      <c r="D128" s="683"/>
      <c r="E128" s="683"/>
      <c r="F128" s="683"/>
      <c r="G128" s="683"/>
      <c r="H128" s="682"/>
      <c r="I128" s="682"/>
      <c r="J128" s="8"/>
      <c r="K128" s="8"/>
      <c r="L128" s="222"/>
      <c r="M128" s="1328" t="s">
        <v>2426</v>
      </c>
      <c r="N128" s="1329"/>
      <c r="O128" s="1329"/>
      <c r="P128" s="1329"/>
      <c r="Q128" s="1329"/>
      <c r="R128" s="1329"/>
      <c r="S128" s="1329" t="s">
        <v>2427</v>
      </c>
      <c r="T128" s="1329"/>
      <c r="U128" s="1329"/>
      <c r="V128" s="1329"/>
      <c r="W128" s="1329"/>
      <c r="X128" s="8"/>
      <c r="Y128" s="9"/>
      <c r="Z128" s="9"/>
      <c r="AA128" s="9"/>
      <c r="AB128" s="9"/>
      <c r="AC128" s="9"/>
      <c r="AD128" s="795"/>
      <c r="AE128" s="795"/>
      <c r="AF128" s="795"/>
      <c r="AG128" s="795"/>
      <c r="AH128" s="795"/>
      <c r="AI128" s="684"/>
      <c r="AJ128" s="682"/>
    </row>
    <row r="129" spans="1:36" ht="15" thickBot="1">
      <c r="A129" s="682"/>
      <c r="B129" s="682"/>
      <c r="C129" s="683"/>
      <c r="D129" s="683"/>
      <c r="E129" s="683"/>
      <c r="F129" s="683"/>
      <c r="G129" s="683"/>
      <c r="H129" s="682"/>
      <c r="I129" s="682"/>
      <c r="J129" s="8"/>
      <c r="K129" s="8"/>
      <c r="L129" s="223"/>
      <c r="M129" s="1328" t="s">
        <v>2428</v>
      </c>
      <c r="N129" s="1329"/>
      <c r="O129" s="1329"/>
      <c r="P129" s="1329"/>
      <c r="Q129" s="1329"/>
      <c r="R129" s="1329"/>
      <c r="S129" s="1329" t="s">
        <v>2425</v>
      </c>
      <c r="T129" s="1329"/>
      <c r="U129" s="1329"/>
      <c r="V129" s="1329"/>
      <c r="W129" s="1329"/>
      <c r="X129" s="8"/>
      <c r="Y129" s="9"/>
      <c r="Z129" s="9"/>
      <c r="AA129" s="9"/>
      <c r="AB129" s="9"/>
      <c r="AC129" s="9"/>
      <c r="AD129" s="795"/>
      <c r="AE129" s="795"/>
      <c r="AF129" s="795"/>
      <c r="AG129" s="795"/>
      <c r="AH129" s="795"/>
      <c r="AI129" s="684"/>
      <c r="AJ129" s="682"/>
    </row>
    <row r="130" spans="1:36" ht="15" thickBot="1">
      <c r="A130" s="682"/>
      <c r="B130" s="682"/>
      <c r="C130" s="683"/>
      <c r="D130" s="683"/>
      <c r="E130" s="683"/>
      <c r="F130" s="683"/>
      <c r="G130" s="683"/>
      <c r="H130" s="682"/>
      <c r="I130" s="682"/>
      <c r="J130" s="8"/>
      <c r="K130" s="8"/>
      <c r="L130" s="224"/>
      <c r="M130" s="1328" t="s">
        <v>2429</v>
      </c>
      <c r="N130" s="1329"/>
      <c r="O130" s="1329"/>
      <c r="P130" s="1329"/>
      <c r="Q130" s="1329"/>
      <c r="R130" s="1329"/>
      <c r="S130" s="1329" t="s">
        <v>2430</v>
      </c>
      <c r="T130" s="1329"/>
      <c r="U130" s="1329"/>
      <c r="V130" s="1329"/>
      <c r="W130" s="1329"/>
      <c r="X130" s="8"/>
      <c r="Y130" s="9"/>
      <c r="Z130" s="9"/>
      <c r="AA130" s="9"/>
      <c r="AB130" s="9"/>
      <c r="AC130" s="9"/>
      <c r="AD130" s="795"/>
      <c r="AE130" s="795"/>
      <c r="AF130" s="795"/>
      <c r="AG130" s="795"/>
      <c r="AH130" s="795"/>
      <c r="AI130" s="684"/>
      <c r="AJ130" s="682"/>
    </row>
    <row r="131" spans="1:36" ht="15" thickBot="1">
      <c r="A131" s="682"/>
      <c r="B131" s="682"/>
      <c r="C131" s="683"/>
      <c r="D131" s="683"/>
      <c r="E131" s="683"/>
      <c r="F131" s="683"/>
      <c r="G131" s="683"/>
      <c r="H131" s="682"/>
      <c r="I131" s="682"/>
      <c r="J131" s="8"/>
      <c r="K131" s="8"/>
      <c r="L131" s="8"/>
      <c r="M131" s="8"/>
      <c r="N131" s="8"/>
      <c r="O131" s="8"/>
      <c r="P131" s="8"/>
      <c r="Q131" s="8"/>
      <c r="R131" s="8"/>
      <c r="S131" s="8"/>
      <c r="T131" s="8"/>
      <c r="U131" s="8"/>
      <c r="V131" s="8"/>
      <c r="W131" s="8"/>
      <c r="X131" s="8"/>
      <c r="Y131" s="9"/>
      <c r="Z131" s="9"/>
      <c r="AA131" s="9"/>
      <c r="AB131" s="9"/>
      <c r="AC131" s="9"/>
      <c r="AD131" s="795"/>
      <c r="AE131" s="795"/>
      <c r="AF131" s="795"/>
      <c r="AG131" s="795"/>
      <c r="AH131" s="795"/>
      <c r="AI131" s="684"/>
      <c r="AJ131" s="682"/>
    </row>
    <row r="132" spans="1:36" ht="12.75">
      <c r="A132" s="682"/>
      <c r="B132" s="682"/>
      <c r="C132" s="683"/>
      <c r="D132" s="683"/>
      <c r="E132" s="683"/>
      <c r="F132" s="683"/>
      <c r="G132" s="683"/>
      <c r="H132" s="682"/>
      <c r="I132" s="682"/>
      <c r="J132" s="648"/>
      <c r="K132" s="649"/>
      <c r="L132" s="839" t="s">
        <v>2626</v>
      </c>
      <c r="M132" s="839" t="s">
        <v>2433</v>
      </c>
      <c r="N132" s="839" t="s">
        <v>2631</v>
      </c>
      <c r="O132" s="839" t="s">
        <v>2440</v>
      </c>
      <c r="P132" s="839" t="s">
        <v>2445</v>
      </c>
      <c r="Q132" s="839" t="s">
        <v>2636</v>
      </c>
      <c r="R132" s="839" t="s">
        <v>2444</v>
      </c>
      <c r="S132" s="839" t="s">
        <v>2432</v>
      </c>
      <c r="T132" s="839" t="s">
        <v>2434</v>
      </c>
      <c r="U132" s="839" t="s">
        <v>2435</v>
      </c>
      <c r="V132" s="839" t="s">
        <v>2648</v>
      </c>
      <c r="W132" s="839" t="s">
        <v>2124</v>
      </c>
      <c r="X132" s="839" t="s">
        <v>2651</v>
      </c>
      <c r="Y132" s="839" t="s">
        <v>2654</v>
      </c>
      <c r="Z132" s="839" t="s">
        <v>2657</v>
      </c>
      <c r="AA132" s="839" t="s">
        <v>2660</v>
      </c>
      <c r="AB132" s="840" t="s">
        <v>2662</v>
      </c>
      <c r="AC132" s="684"/>
      <c r="AD132" s="684"/>
      <c r="AE132" s="795"/>
      <c r="AF132" s="795"/>
      <c r="AG132" s="795"/>
      <c r="AH132" s="795"/>
      <c r="AI132" s="684"/>
      <c r="AJ132" s="682"/>
    </row>
    <row r="133" spans="1:36" ht="15">
      <c r="A133" s="682"/>
      <c r="B133" s="682"/>
      <c r="C133" s="683"/>
      <c r="D133" s="683"/>
      <c r="E133" s="683"/>
      <c r="F133" s="683"/>
      <c r="G133" s="683"/>
      <c r="H133" s="682"/>
      <c r="I133" s="682"/>
      <c r="J133" s="651" t="s">
        <v>2467</v>
      </c>
      <c r="K133" s="807" t="s">
        <v>2689</v>
      </c>
      <c r="L133" s="653"/>
      <c r="M133" s="626"/>
      <c r="N133" s="653"/>
      <c r="O133" s="653"/>
      <c r="P133" s="653"/>
      <c r="Q133" s="841"/>
      <c r="R133" s="626"/>
      <c r="S133" s="653"/>
      <c r="T133" s="653"/>
      <c r="U133" s="654"/>
      <c r="V133" s="655"/>
      <c r="W133" s="653"/>
      <c r="X133" s="626"/>
      <c r="Y133" s="841"/>
      <c r="Z133" s="841"/>
      <c r="AA133" s="653"/>
      <c r="AB133" s="842"/>
      <c r="AC133" s="684"/>
      <c r="AD133" s="684"/>
      <c r="AE133" s="795"/>
      <c r="AF133" s="795"/>
      <c r="AG133" s="795"/>
      <c r="AH133" s="795"/>
      <c r="AI133" s="684"/>
      <c r="AJ133" s="682"/>
    </row>
    <row r="134" spans="1:36" ht="16.5">
      <c r="A134" s="682"/>
      <c r="B134" s="682"/>
      <c r="C134" s="683"/>
      <c r="D134" s="683"/>
      <c r="E134" s="683"/>
      <c r="F134" s="683"/>
      <c r="G134" s="683"/>
      <c r="H134" s="682"/>
      <c r="I134" s="682"/>
      <c r="J134" s="651" t="s">
        <v>2473</v>
      </c>
      <c r="K134" s="633" t="s">
        <v>1380</v>
      </c>
      <c r="L134" s="654"/>
      <c r="M134" s="654"/>
      <c r="N134" s="653"/>
      <c r="O134" s="653"/>
      <c r="P134" s="653"/>
      <c r="Q134" s="841"/>
      <c r="R134" s="626"/>
      <c r="S134" s="653"/>
      <c r="T134" s="653"/>
      <c r="U134" s="653"/>
      <c r="V134" s="655"/>
      <c r="W134" s="653"/>
      <c r="X134" s="626"/>
      <c r="Y134" s="843"/>
      <c r="Z134" s="843"/>
      <c r="AA134" s="653"/>
      <c r="AB134" s="844"/>
      <c r="AC134" s="845"/>
      <c r="AD134" s="845"/>
      <c r="AE134" s="795"/>
      <c r="AF134" s="795"/>
      <c r="AG134" s="795"/>
      <c r="AH134" s="795"/>
      <c r="AI134" s="684"/>
      <c r="AJ134" s="682"/>
    </row>
    <row r="135" spans="1:36" ht="16.5">
      <c r="A135" s="682"/>
      <c r="B135" s="682"/>
      <c r="C135" s="683"/>
      <c r="D135" s="683"/>
      <c r="E135" s="683"/>
      <c r="F135" s="683"/>
      <c r="G135" s="683"/>
      <c r="H135" s="682"/>
      <c r="I135" s="682"/>
      <c r="J135" s="657" t="s">
        <v>2475</v>
      </c>
      <c r="K135" s="633" t="s">
        <v>1385</v>
      </c>
      <c r="L135" s="658"/>
      <c r="M135" s="659"/>
      <c r="N135" s="652"/>
      <c r="O135" s="659"/>
      <c r="P135" s="652"/>
      <c r="Q135" s="841"/>
      <c r="R135" s="625"/>
      <c r="S135" s="652"/>
      <c r="T135" s="652"/>
      <c r="U135" s="652"/>
      <c r="V135" s="660"/>
      <c r="W135" s="652"/>
      <c r="X135" s="625"/>
      <c r="Y135" s="846"/>
      <c r="Z135" s="846"/>
      <c r="AA135" s="652"/>
      <c r="AB135" s="847"/>
      <c r="AC135" s="795"/>
      <c r="AD135" s="795"/>
      <c r="AE135" s="795"/>
      <c r="AF135" s="795"/>
      <c r="AG135" s="795"/>
      <c r="AH135" s="795"/>
      <c r="AI135" s="684"/>
      <c r="AJ135" s="682"/>
    </row>
    <row r="136" spans="1:36" ht="16.5">
      <c r="A136" s="682"/>
      <c r="B136" s="682"/>
      <c r="C136" s="683"/>
      <c r="D136" s="683"/>
      <c r="E136" s="683"/>
      <c r="F136" s="683"/>
      <c r="G136" s="683"/>
      <c r="H136" s="682"/>
      <c r="I136" s="682"/>
      <c r="J136" s="651" t="s">
        <v>2477</v>
      </c>
      <c r="K136" s="633" t="s">
        <v>1394</v>
      </c>
      <c r="L136" s="654"/>
      <c r="M136" s="653"/>
      <c r="N136" s="654"/>
      <c r="O136" s="653"/>
      <c r="P136" s="653"/>
      <c r="Q136" s="848"/>
      <c r="R136" s="654"/>
      <c r="S136" s="653"/>
      <c r="T136" s="653"/>
      <c r="U136" s="653"/>
      <c r="V136" s="655"/>
      <c r="W136" s="654"/>
      <c r="X136" s="626"/>
      <c r="Y136" s="849"/>
      <c r="Z136" s="849"/>
      <c r="AA136" s="653"/>
      <c r="AB136" s="850"/>
      <c r="AC136" s="779"/>
      <c r="AD136" s="779"/>
      <c r="AE136" s="795"/>
      <c r="AF136" s="795"/>
      <c r="AG136" s="795"/>
      <c r="AH136" s="795"/>
      <c r="AI136" s="684"/>
      <c r="AJ136" s="682"/>
    </row>
    <row r="137" spans="1:36" ht="16.5">
      <c r="A137" s="682"/>
      <c r="B137" s="682"/>
      <c r="C137" s="683"/>
      <c r="D137" s="683"/>
      <c r="E137" s="683"/>
      <c r="F137" s="683"/>
      <c r="G137" s="683"/>
      <c r="H137" s="682"/>
      <c r="I137" s="682"/>
      <c r="J137" s="651" t="s">
        <v>2479</v>
      </c>
      <c r="K137" s="633" t="s">
        <v>1522</v>
      </c>
      <c r="L137" s="662"/>
      <c r="M137" s="653"/>
      <c r="N137" s="654"/>
      <c r="O137" s="654"/>
      <c r="P137" s="653"/>
      <c r="Q137" s="848"/>
      <c r="R137" s="654"/>
      <c r="S137" s="653"/>
      <c r="T137" s="653"/>
      <c r="U137" s="653"/>
      <c r="V137" s="655"/>
      <c r="W137" s="654"/>
      <c r="X137" s="626"/>
      <c r="Y137" s="849"/>
      <c r="Z137" s="849"/>
      <c r="AA137" s="653"/>
      <c r="AB137" s="850"/>
      <c r="AC137" s="779"/>
      <c r="AD137" s="779"/>
      <c r="AE137" s="795"/>
      <c r="AF137" s="795"/>
      <c r="AG137" s="795"/>
      <c r="AH137" s="795"/>
      <c r="AI137" s="684"/>
      <c r="AJ137" s="682"/>
    </row>
    <row r="138" spans="1:36" ht="16.5">
      <c r="A138" s="682"/>
      <c r="B138" s="682"/>
      <c r="C138" s="683"/>
      <c r="D138" s="683"/>
      <c r="E138" s="683"/>
      <c r="F138" s="683"/>
      <c r="G138" s="683"/>
      <c r="H138" s="682"/>
      <c r="I138" s="682"/>
      <c r="J138" s="651" t="s">
        <v>2482</v>
      </c>
      <c r="K138" s="633" t="s">
        <v>1408</v>
      </c>
      <c r="L138" s="654"/>
      <c r="M138" s="653"/>
      <c r="N138" s="653"/>
      <c r="O138" s="653"/>
      <c r="P138" s="653"/>
      <c r="Q138" s="841"/>
      <c r="R138" s="626"/>
      <c r="S138" s="653"/>
      <c r="T138" s="653"/>
      <c r="U138" s="653"/>
      <c r="V138" s="655"/>
      <c r="W138" s="653"/>
      <c r="X138" s="626"/>
      <c r="Y138" s="841"/>
      <c r="Z138" s="841"/>
      <c r="AA138" s="653"/>
      <c r="AB138" s="842"/>
      <c r="AC138" s="684"/>
      <c r="AD138" s="684"/>
      <c r="AE138" s="684"/>
      <c r="AF138" s="684"/>
      <c r="AG138" s="684"/>
      <c r="AH138" s="684"/>
      <c r="AI138" s="684"/>
      <c r="AJ138" s="682"/>
    </row>
    <row r="139" spans="1:36" ht="16.5">
      <c r="A139" s="682"/>
      <c r="B139" s="682"/>
      <c r="C139" s="683"/>
      <c r="D139" s="683"/>
      <c r="E139" s="683"/>
      <c r="F139" s="683"/>
      <c r="G139" s="683"/>
      <c r="H139" s="682"/>
      <c r="I139" s="682"/>
      <c r="J139" s="651" t="s">
        <v>2484</v>
      </c>
      <c r="K139" s="633" t="s">
        <v>1414</v>
      </c>
      <c r="L139" s="662"/>
      <c r="M139" s="653"/>
      <c r="N139" s="653"/>
      <c r="O139" s="654"/>
      <c r="P139" s="653"/>
      <c r="Q139" s="841"/>
      <c r="R139" s="626"/>
      <c r="S139" s="653"/>
      <c r="T139" s="653"/>
      <c r="U139" s="653"/>
      <c r="V139" s="655"/>
      <c r="W139" s="653"/>
      <c r="X139" s="626"/>
      <c r="Y139" s="851"/>
      <c r="Z139" s="851"/>
      <c r="AA139" s="653"/>
      <c r="AB139" s="852"/>
      <c r="AC139" s="853"/>
      <c r="AD139" s="853"/>
      <c r="AE139" s="853"/>
      <c r="AF139" s="684"/>
      <c r="AG139" s="684"/>
      <c r="AH139" s="684"/>
      <c r="AI139" s="684"/>
      <c r="AJ139" s="682"/>
    </row>
    <row r="140" spans="1:36" ht="16.5">
      <c r="A140" s="682"/>
      <c r="B140" s="682"/>
      <c r="C140" s="683"/>
      <c r="D140" s="683"/>
      <c r="E140" s="683"/>
      <c r="F140" s="683"/>
      <c r="G140" s="683"/>
      <c r="H140" s="682"/>
      <c r="I140" s="682"/>
      <c r="J140" s="651" t="s">
        <v>2486</v>
      </c>
      <c r="K140" s="633" t="s">
        <v>1523</v>
      </c>
      <c r="L140" s="663"/>
      <c r="M140" s="664"/>
      <c r="N140" s="664"/>
      <c r="O140" s="664"/>
      <c r="P140" s="664"/>
      <c r="Q140" s="841"/>
      <c r="R140" s="665"/>
      <c r="S140" s="664"/>
      <c r="T140" s="664"/>
      <c r="U140" s="664"/>
      <c r="V140" s="664"/>
      <c r="W140" s="663"/>
      <c r="X140" s="665"/>
      <c r="Y140" s="851"/>
      <c r="Z140" s="851"/>
      <c r="AA140" s="664"/>
      <c r="AB140" s="852"/>
      <c r="AC140" s="853"/>
      <c r="AD140" s="853"/>
      <c r="AE140" s="853"/>
      <c r="AF140" s="684"/>
      <c r="AG140" s="684"/>
      <c r="AH140" s="684"/>
      <c r="AI140" s="684"/>
      <c r="AJ140" s="682"/>
    </row>
    <row r="141" spans="1:36" ht="16.5">
      <c r="A141" s="682"/>
      <c r="B141" s="682"/>
      <c r="C141" s="683"/>
      <c r="D141" s="683"/>
      <c r="E141" s="683"/>
      <c r="F141" s="683"/>
      <c r="G141" s="683"/>
      <c r="H141" s="682"/>
      <c r="I141" s="682"/>
      <c r="J141" s="651" t="s">
        <v>2493</v>
      </c>
      <c r="K141" s="633" t="s">
        <v>1524</v>
      </c>
      <c r="L141" s="667"/>
      <c r="M141" s="668"/>
      <c r="N141" s="668"/>
      <c r="O141" s="669"/>
      <c r="P141" s="668"/>
      <c r="Q141" s="841"/>
      <c r="R141" s="670"/>
      <c r="S141" s="668"/>
      <c r="T141" s="668"/>
      <c r="U141" s="668"/>
      <c r="V141" s="668"/>
      <c r="W141" s="669"/>
      <c r="X141" s="670"/>
      <c r="Y141" s="854"/>
      <c r="Z141" s="854"/>
      <c r="AA141" s="668"/>
      <c r="AB141" s="855"/>
      <c r="AC141" s="784"/>
      <c r="AD141" s="784"/>
      <c r="AE141" s="784"/>
      <c r="AF141" s="845"/>
      <c r="AG141" s="845"/>
      <c r="AH141" s="845"/>
      <c r="AI141" s="684"/>
      <c r="AJ141" s="682"/>
    </row>
    <row r="142" spans="1:36" ht="16.5">
      <c r="A142" s="682"/>
      <c r="B142" s="682"/>
      <c r="C142" s="683"/>
      <c r="D142" s="683"/>
      <c r="E142" s="683"/>
      <c r="F142" s="683"/>
      <c r="G142" s="683"/>
      <c r="H142" s="682"/>
      <c r="I142" s="682"/>
      <c r="J142" s="651" t="s">
        <v>2499</v>
      </c>
      <c r="K142" s="633" t="s">
        <v>1560</v>
      </c>
      <c r="L142" s="669"/>
      <c r="M142" s="670"/>
      <c r="N142" s="669"/>
      <c r="O142" s="670"/>
      <c r="P142" s="670"/>
      <c r="Q142" s="848"/>
      <c r="R142" s="669"/>
      <c r="S142" s="670"/>
      <c r="T142" s="670"/>
      <c r="U142" s="670"/>
      <c r="V142" s="670"/>
      <c r="W142" s="670"/>
      <c r="X142" s="670"/>
      <c r="Y142" s="851"/>
      <c r="Z142" s="851"/>
      <c r="AA142" s="672"/>
      <c r="AB142" s="852"/>
      <c r="AC142" s="782"/>
      <c r="AD142" s="782"/>
      <c r="AE142" s="782"/>
      <c r="AF142" s="795"/>
      <c r="AG142" s="795"/>
      <c r="AH142" s="795"/>
      <c r="AI142" s="684"/>
      <c r="AJ142" s="682"/>
    </row>
    <row r="143" spans="1:36" ht="16.5">
      <c r="A143" s="682"/>
      <c r="B143" s="682"/>
      <c r="C143" s="683"/>
      <c r="D143" s="683"/>
      <c r="E143" s="683"/>
      <c r="F143" s="683"/>
      <c r="G143" s="683"/>
      <c r="H143" s="682"/>
      <c r="I143" s="682"/>
      <c r="J143" s="651" t="s">
        <v>2502</v>
      </c>
      <c r="K143" s="633" t="s">
        <v>1566</v>
      </c>
      <c r="L143" s="654"/>
      <c r="M143" s="626"/>
      <c r="N143" s="626"/>
      <c r="O143" s="626"/>
      <c r="P143" s="626"/>
      <c r="Q143" s="841"/>
      <c r="R143" s="626"/>
      <c r="S143" s="626"/>
      <c r="T143" s="626"/>
      <c r="U143" s="626"/>
      <c r="V143" s="626"/>
      <c r="W143" s="626"/>
      <c r="X143" s="626"/>
      <c r="Y143" s="808"/>
      <c r="Z143" s="808"/>
      <c r="AA143" s="655"/>
      <c r="AB143" s="821"/>
      <c r="AC143" s="810"/>
      <c r="AD143" s="810"/>
      <c r="AE143" s="810"/>
      <c r="AF143" s="779"/>
      <c r="AG143" s="779"/>
      <c r="AH143" s="779"/>
      <c r="AI143" s="684"/>
      <c r="AJ143" s="682"/>
    </row>
    <row r="144" spans="1:36" ht="16.5">
      <c r="A144" s="682"/>
      <c r="B144" s="682"/>
      <c r="C144" s="683"/>
      <c r="D144" s="683"/>
      <c r="E144" s="683"/>
      <c r="F144" s="683"/>
      <c r="G144" s="683"/>
      <c r="H144" s="682"/>
      <c r="I144" s="682"/>
      <c r="J144" s="651" t="s">
        <v>2082</v>
      </c>
      <c r="K144" s="633" t="s">
        <v>1569</v>
      </c>
      <c r="L144" s="662"/>
      <c r="M144" s="626"/>
      <c r="N144" s="626"/>
      <c r="O144" s="654"/>
      <c r="P144" s="626"/>
      <c r="Q144" s="841"/>
      <c r="R144" s="626"/>
      <c r="S144" s="626"/>
      <c r="T144" s="626"/>
      <c r="U144" s="626"/>
      <c r="V144" s="626"/>
      <c r="W144" s="626"/>
      <c r="X144" s="626"/>
      <c r="Y144" s="815"/>
      <c r="Z144" s="815"/>
      <c r="AA144" s="655"/>
      <c r="AB144" s="821"/>
      <c r="AC144" s="810"/>
      <c r="AD144" s="810"/>
      <c r="AE144" s="810"/>
      <c r="AF144" s="779"/>
      <c r="AG144" s="779"/>
      <c r="AH144" s="779"/>
      <c r="AI144" s="684"/>
      <c r="AJ144" s="682"/>
    </row>
    <row r="145" spans="1:36" ht="16.5">
      <c r="A145" s="682"/>
      <c r="B145" s="682"/>
      <c r="C145" s="683"/>
      <c r="D145" s="683"/>
      <c r="E145" s="683"/>
      <c r="F145" s="683"/>
      <c r="G145" s="683"/>
      <c r="H145" s="682"/>
      <c r="I145" s="682"/>
      <c r="J145" s="856" t="s">
        <v>2138</v>
      </c>
      <c r="K145" s="823" t="s">
        <v>1572</v>
      </c>
      <c r="L145" s="815"/>
      <c r="M145" s="857"/>
      <c r="N145" s="815"/>
      <c r="O145" s="815"/>
      <c r="P145" s="815"/>
      <c r="Q145" s="815"/>
      <c r="R145" s="858"/>
      <c r="S145" s="815"/>
      <c r="T145" s="815"/>
      <c r="U145" s="815"/>
      <c r="V145" s="815"/>
      <c r="W145" s="815"/>
      <c r="X145" s="859"/>
      <c r="Y145" s="858"/>
      <c r="Z145" s="815"/>
      <c r="AA145" s="815"/>
      <c r="AB145" s="821"/>
      <c r="AC145" s="810"/>
      <c r="AD145" s="810"/>
      <c r="AE145" s="810"/>
      <c r="AF145" s="779"/>
      <c r="AG145" s="779"/>
      <c r="AH145" s="779"/>
      <c r="AI145" s="684"/>
      <c r="AJ145" s="682"/>
    </row>
    <row r="146" spans="1:36" ht="16.5">
      <c r="A146" s="682"/>
      <c r="B146" s="682"/>
      <c r="C146" s="683"/>
      <c r="D146" s="683"/>
      <c r="E146" s="683"/>
      <c r="F146" s="683"/>
      <c r="G146" s="683"/>
      <c r="H146" s="682"/>
      <c r="I146" s="682"/>
      <c r="J146" s="856" t="s">
        <v>2140</v>
      </c>
      <c r="K146" s="823" t="s">
        <v>580</v>
      </c>
      <c r="L146" s="858"/>
      <c r="M146" s="815"/>
      <c r="N146" s="815"/>
      <c r="O146" s="815"/>
      <c r="P146" s="815"/>
      <c r="Q146" s="858"/>
      <c r="R146" s="858"/>
      <c r="S146" s="815"/>
      <c r="T146" s="815"/>
      <c r="U146" s="815"/>
      <c r="V146" s="860"/>
      <c r="W146" s="815"/>
      <c r="X146" s="859"/>
      <c r="Y146" s="861"/>
      <c r="Z146" s="858"/>
      <c r="AA146" s="815"/>
      <c r="AB146" s="821"/>
      <c r="AC146" s="810"/>
      <c r="AD146" s="810"/>
      <c r="AE146" s="810"/>
      <c r="AF146" s="779"/>
      <c r="AG146" s="779"/>
      <c r="AH146" s="779"/>
      <c r="AI146" s="684"/>
      <c r="AJ146" s="682"/>
    </row>
    <row r="147" spans="1:36" ht="16.5">
      <c r="A147" s="682"/>
      <c r="B147" s="682"/>
      <c r="C147" s="683"/>
      <c r="D147" s="683"/>
      <c r="E147" s="683"/>
      <c r="F147" s="683"/>
      <c r="G147" s="683"/>
      <c r="H147" s="682"/>
      <c r="I147" s="682"/>
      <c r="J147" s="856" t="s">
        <v>2141</v>
      </c>
      <c r="K147" s="823" t="s">
        <v>585</v>
      </c>
      <c r="L147" s="861"/>
      <c r="M147" s="815"/>
      <c r="N147" s="815"/>
      <c r="O147" s="858"/>
      <c r="P147" s="815"/>
      <c r="Q147" s="858"/>
      <c r="R147" s="858"/>
      <c r="S147" s="815"/>
      <c r="T147" s="815"/>
      <c r="U147" s="815"/>
      <c r="V147" s="860"/>
      <c r="W147" s="815"/>
      <c r="X147" s="859"/>
      <c r="Y147" s="861"/>
      <c r="Z147" s="858"/>
      <c r="AA147" s="815"/>
      <c r="AB147" s="821"/>
      <c r="AC147" s="810"/>
      <c r="AD147" s="810"/>
      <c r="AE147" s="810"/>
      <c r="AF147" s="779"/>
      <c r="AG147" s="779"/>
      <c r="AH147" s="779"/>
      <c r="AI147" s="684"/>
      <c r="AJ147" s="682"/>
    </row>
    <row r="148" spans="1:36" ht="16.5">
      <c r="A148" s="682"/>
      <c r="B148" s="682"/>
      <c r="C148" s="683"/>
      <c r="D148" s="683"/>
      <c r="E148" s="683"/>
      <c r="F148" s="683"/>
      <c r="G148" s="683"/>
      <c r="H148" s="682"/>
      <c r="I148" s="682"/>
      <c r="J148" s="856" t="s">
        <v>2142</v>
      </c>
      <c r="K148" s="823" t="s">
        <v>590</v>
      </c>
      <c r="L148" s="858"/>
      <c r="M148" s="815"/>
      <c r="N148" s="858"/>
      <c r="O148" s="815"/>
      <c r="P148" s="815"/>
      <c r="Q148" s="858"/>
      <c r="R148" s="858"/>
      <c r="S148" s="815"/>
      <c r="T148" s="815"/>
      <c r="U148" s="815"/>
      <c r="V148" s="860"/>
      <c r="W148" s="815"/>
      <c r="X148" s="859"/>
      <c r="Y148" s="815"/>
      <c r="Z148" s="858"/>
      <c r="AA148" s="815"/>
      <c r="AB148" s="821"/>
      <c r="AC148" s="810"/>
      <c r="AD148" s="810"/>
      <c r="AE148" s="810"/>
      <c r="AF148" s="779"/>
      <c r="AG148" s="779"/>
      <c r="AH148" s="779"/>
      <c r="AI148" s="684"/>
      <c r="AJ148" s="682"/>
    </row>
    <row r="149" spans="1:36" ht="16.5">
      <c r="A149" s="682"/>
      <c r="B149" s="682"/>
      <c r="C149" s="683"/>
      <c r="D149" s="683"/>
      <c r="E149" s="683"/>
      <c r="F149" s="683"/>
      <c r="G149" s="683"/>
      <c r="H149" s="682"/>
      <c r="I149" s="682"/>
      <c r="J149" s="856" t="s">
        <v>2143</v>
      </c>
      <c r="K149" s="823" t="s">
        <v>596</v>
      </c>
      <c r="L149" s="861"/>
      <c r="M149" s="815"/>
      <c r="N149" s="858"/>
      <c r="O149" s="858"/>
      <c r="P149" s="815"/>
      <c r="Q149" s="858"/>
      <c r="R149" s="858"/>
      <c r="S149" s="815"/>
      <c r="T149" s="815"/>
      <c r="U149" s="815"/>
      <c r="V149" s="860"/>
      <c r="W149" s="815"/>
      <c r="X149" s="859"/>
      <c r="Y149" s="815"/>
      <c r="Z149" s="858"/>
      <c r="AA149" s="815"/>
      <c r="AB149" s="821"/>
      <c r="AC149" s="810"/>
      <c r="AD149" s="810"/>
      <c r="AE149" s="810"/>
      <c r="AF149" s="779"/>
      <c r="AG149" s="779"/>
      <c r="AH149" s="779"/>
      <c r="AI149" s="684"/>
      <c r="AJ149" s="682"/>
    </row>
    <row r="150" spans="1:36" ht="16.5">
      <c r="A150" s="682"/>
      <c r="B150" s="682"/>
      <c r="C150" s="683"/>
      <c r="D150" s="683"/>
      <c r="E150" s="683"/>
      <c r="F150" s="683"/>
      <c r="G150" s="683"/>
      <c r="H150" s="682"/>
      <c r="I150" s="682"/>
      <c r="J150" s="856" t="s">
        <v>2145</v>
      </c>
      <c r="K150" s="823" t="s">
        <v>603</v>
      </c>
      <c r="L150" s="858"/>
      <c r="M150" s="815"/>
      <c r="N150" s="815"/>
      <c r="O150" s="815"/>
      <c r="P150" s="815"/>
      <c r="Q150" s="815"/>
      <c r="R150" s="815"/>
      <c r="S150" s="815"/>
      <c r="T150" s="815"/>
      <c r="U150" s="815"/>
      <c r="V150" s="815"/>
      <c r="W150" s="815"/>
      <c r="X150" s="859"/>
      <c r="Y150" s="815"/>
      <c r="Z150" s="815"/>
      <c r="AA150" s="815"/>
      <c r="AB150" s="821"/>
      <c r="AC150" s="810"/>
      <c r="AD150" s="810"/>
      <c r="AE150" s="810"/>
      <c r="AF150" s="779"/>
      <c r="AG150" s="779"/>
      <c r="AH150" s="779"/>
      <c r="AI150" s="684"/>
      <c r="AJ150" s="682"/>
    </row>
    <row r="151" spans="1:36" ht="16.5">
      <c r="A151" s="682"/>
      <c r="B151" s="682"/>
      <c r="C151" s="683"/>
      <c r="D151" s="683"/>
      <c r="E151" s="683"/>
      <c r="F151" s="683"/>
      <c r="G151" s="683"/>
      <c r="H151" s="682"/>
      <c r="I151" s="682"/>
      <c r="J151" s="856" t="s">
        <v>2146</v>
      </c>
      <c r="K151" s="823" t="s">
        <v>607</v>
      </c>
      <c r="L151" s="861"/>
      <c r="M151" s="815"/>
      <c r="N151" s="815"/>
      <c r="O151" s="858"/>
      <c r="P151" s="815"/>
      <c r="Q151" s="815"/>
      <c r="R151" s="815"/>
      <c r="S151" s="815"/>
      <c r="T151" s="815"/>
      <c r="U151" s="815"/>
      <c r="V151" s="815"/>
      <c r="W151" s="815"/>
      <c r="X151" s="859"/>
      <c r="Y151" s="815"/>
      <c r="Z151" s="815"/>
      <c r="AA151" s="815"/>
      <c r="AB151" s="821"/>
      <c r="AC151" s="810"/>
      <c r="AD151" s="810"/>
      <c r="AE151" s="810"/>
      <c r="AF151" s="779"/>
      <c r="AG151" s="779"/>
      <c r="AH151" s="779"/>
      <c r="AI151" s="684"/>
      <c r="AJ151" s="682"/>
    </row>
    <row r="152" spans="1:36" ht="16.5">
      <c r="A152" s="682"/>
      <c r="B152" s="682"/>
      <c r="C152" s="683"/>
      <c r="D152" s="683"/>
      <c r="E152" s="683"/>
      <c r="F152" s="683"/>
      <c r="G152" s="683"/>
      <c r="H152" s="682"/>
      <c r="I152" s="682"/>
      <c r="J152" s="856" t="s">
        <v>2148</v>
      </c>
      <c r="K152" s="823" t="s">
        <v>612</v>
      </c>
      <c r="L152" s="862"/>
      <c r="M152" s="815"/>
      <c r="N152" s="815"/>
      <c r="O152" s="815"/>
      <c r="P152" s="815"/>
      <c r="Q152" s="815"/>
      <c r="R152" s="858" t="s">
        <v>2446</v>
      </c>
      <c r="S152" s="815"/>
      <c r="T152" s="815"/>
      <c r="U152" s="815"/>
      <c r="V152" s="815"/>
      <c r="W152" s="815"/>
      <c r="X152" s="859"/>
      <c r="Y152" s="858"/>
      <c r="Z152" s="815"/>
      <c r="AA152" s="860"/>
      <c r="AB152" s="821"/>
      <c r="AC152" s="810"/>
      <c r="AD152" s="810"/>
      <c r="AE152" s="810"/>
      <c r="AF152" s="779"/>
      <c r="AG152" s="779"/>
      <c r="AH152" s="779"/>
      <c r="AI152" s="684"/>
      <c r="AJ152" s="682"/>
    </row>
    <row r="153" spans="1:36" ht="16.5">
      <c r="A153" s="682"/>
      <c r="B153" s="682"/>
      <c r="C153" s="683"/>
      <c r="D153" s="683"/>
      <c r="E153" s="683"/>
      <c r="F153" s="683"/>
      <c r="G153" s="683"/>
      <c r="H153" s="682"/>
      <c r="I153" s="682"/>
      <c r="J153" s="856" t="s">
        <v>2149</v>
      </c>
      <c r="K153" s="823" t="s">
        <v>616</v>
      </c>
      <c r="L153" s="861"/>
      <c r="M153" s="815"/>
      <c r="N153" s="815"/>
      <c r="O153" s="862"/>
      <c r="P153" s="815"/>
      <c r="Q153" s="815"/>
      <c r="R153" s="858" t="s">
        <v>2446</v>
      </c>
      <c r="S153" s="815"/>
      <c r="T153" s="815"/>
      <c r="U153" s="815"/>
      <c r="V153" s="815"/>
      <c r="W153" s="815"/>
      <c r="X153" s="859"/>
      <c r="Y153" s="858"/>
      <c r="Z153" s="815"/>
      <c r="AA153" s="860"/>
      <c r="AB153" s="821"/>
      <c r="AC153" s="810"/>
      <c r="AD153" s="810"/>
      <c r="AE153" s="810"/>
      <c r="AF153" s="779"/>
      <c r="AG153" s="779"/>
      <c r="AH153" s="779"/>
      <c r="AI153" s="684"/>
      <c r="AJ153" s="682"/>
    </row>
    <row r="154" spans="1:36" ht="16.5">
      <c r="A154" s="682"/>
      <c r="B154" s="682"/>
      <c r="C154" s="683"/>
      <c r="D154" s="683"/>
      <c r="E154" s="683"/>
      <c r="F154" s="683"/>
      <c r="G154" s="683"/>
      <c r="H154" s="682"/>
      <c r="I154" s="682"/>
      <c r="J154" s="856" t="s">
        <v>2150</v>
      </c>
      <c r="K154" s="823" t="s">
        <v>618</v>
      </c>
      <c r="L154" s="858"/>
      <c r="M154" s="815"/>
      <c r="N154" s="815"/>
      <c r="O154" s="815"/>
      <c r="P154" s="815"/>
      <c r="Q154" s="815"/>
      <c r="R154" s="815"/>
      <c r="S154" s="815"/>
      <c r="T154" s="815"/>
      <c r="U154" s="815"/>
      <c r="V154" s="815"/>
      <c r="W154" s="815"/>
      <c r="X154" s="859"/>
      <c r="Y154" s="815"/>
      <c r="Z154" s="858"/>
      <c r="AA154" s="860"/>
      <c r="AB154" s="821"/>
      <c r="AC154" s="810"/>
      <c r="AD154" s="810"/>
      <c r="AE154" s="810"/>
      <c r="AF154" s="779"/>
      <c r="AG154" s="779"/>
      <c r="AH154" s="779"/>
      <c r="AI154" s="684"/>
      <c r="AJ154" s="682"/>
    </row>
    <row r="155" spans="1:36" ht="17.25" thickBot="1">
      <c r="A155" s="682"/>
      <c r="B155" s="682"/>
      <c r="C155" s="683"/>
      <c r="D155" s="683"/>
      <c r="E155" s="683"/>
      <c r="F155" s="683"/>
      <c r="G155" s="683"/>
      <c r="H155" s="682"/>
      <c r="I155" s="682"/>
      <c r="J155" s="863" t="s">
        <v>2151</v>
      </c>
      <c r="K155" s="831" t="s">
        <v>621</v>
      </c>
      <c r="L155" s="864"/>
      <c r="M155" s="865"/>
      <c r="N155" s="865"/>
      <c r="O155" s="866"/>
      <c r="P155" s="865"/>
      <c r="Q155" s="865"/>
      <c r="R155" s="865"/>
      <c r="S155" s="865"/>
      <c r="T155" s="865"/>
      <c r="U155" s="865"/>
      <c r="V155" s="865"/>
      <c r="W155" s="865"/>
      <c r="X155" s="867"/>
      <c r="Y155" s="865"/>
      <c r="Z155" s="866"/>
      <c r="AA155" s="865"/>
      <c r="AB155" s="868"/>
      <c r="AC155" s="810"/>
      <c r="AD155" s="810"/>
      <c r="AE155" s="810"/>
      <c r="AF155" s="794"/>
      <c r="AG155" s="794"/>
      <c r="AH155" s="794"/>
      <c r="AI155" s="684"/>
      <c r="AJ155" s="682"/>
    </row>
    <row r="156" spans="1:36" ht="12.75">
      <c r="A156" s="682"/>
      <c r="B156" s="682"/>
      <c r="C156" s="683"/>
      <c r="D156" s="683"/>
      <c r="E156" s="683"/>
      <c r="F156" s="683"/>
      <c r="G156" s="683"/>
      <c r="H156" s="682"/>
      <c r="I156" s="682"/>
      <c r="J156" s="869"/>
      <c r="K156" s="869"/>
      <c r="L156" s="810"/>
      <c r="M156" s="810"/>
      <c r="N156" s="810"/>
      <c r="O156" s="810"/>
      <c r="P156" s="810"/>
      <c r="Q156" s="810"/>
      <c r="R156" s="810"/>
      <c r="S156" s="810"/>
      <c r="T156" s="810"/>
      <c r="U156" s="810"/>
      <c r="V156" s="810"/>
      <c r="W156" s="810"/>
      <c r="X156" s="810"/>
      <c r="Y156" s="810"/>
      <c r="Z156" s="810"/>
      <c r="AA156" s="810"/>
      <c r="AB156" s="810"/>
      <c r="AC156" s="782"/>
      <c r="AD156" s="782"/>
      <c r="AE156" s="782"/>
      <c r="AF156" s="795"/>
      <c r="AG156" s="795"/>
      <c r="AH156" s="795"/>
      <c r="AI156" s="684"/>
      <c r="AJ156" s="682"/>
    </row>
    <row r="157" spans="1:36" ht="14.25">
      <c r="A157" s="682"/>
      <c r="B157" s="682"/>
      <c r="C157" s="683"/>
      <c r="D157" s="683"/>
      <c r="E157" s="683"/>
      <c r="F157" s="683"/>
      <c r="G157" s="683"/>
      <c r="H157" s="682"/>
      <c r="I157" s="682"/>
      <c r="J157" s="1330" t="s">
        <v>2447</v>
      </c>
      <c r="K157" s="1330"/>
      <c r="L157" s="1330"/>
      <c r="M157" s="1330"/>
      <c r="N157" s="1330"/>
      <c r="O157" s="1330"/>
      <c r="P157" s="1330"/>
      <c r="Q157" s="1330"/>
      <c r="R157" s="1330"/>
      <c r="S157" s="1330"/>
      <c r="T157" s="1330"/>
      <c r="U157" s="1330"/>
      <c r="V157" s="1330"/>
      <c r="W157" s="1330"/>
      <c r="X157" s="1330"/>
      <c r="Y157" s="1330"/>
      <c r="Z157" s="1330"/>
      <c r="AA157" s="1330"/>
      <c r="AB157" s="1330"/>
      <c r="AC157" s="1330"/>
      <c r="AD157" s="782"/>
      <c r="AE157" s="782"/>
      <c r="AF157" s="795"/>
      <c r="AG157" s="795"/>
      <c r="AH157" s="795"/>
      <c r="AI157" s="684"/>
      <c r="AJ157" s="682"/>
    </row>
  </sheetData>
  <mergeCells count="77">
    <mergeCell ref="B3:AJ3"/>
    <mergeCell ref="B5:G5"/>
    <mergeCell ref="K5:L5"/>
    <mergeCell ref="M5:AC5"/>
    <mergeCell ref="B7:G8"/>
    <mergeCell ref="K7:L7"/>
    <mergeCell ref="M7:S7"/>
    <mergeCell ref="B9:G9"/>
    <mergeCell ref="J9:AJ9"/>
    <mergeCell ref="AC11:AJ11"/>
    <mergeCell ref="B12:B28"/>
    <mergeCell ref="AC12:AJ12"/>
    <mergeCell ref="AC13:AJ13"/>
    <mergeCell ref="AC14:AJ14"/>
    <mergeCell ref="AC15:AJ15"/>
    <mergeCell ref="AC16:AJ16"/>
    <mergeCell ref="AC17:AJ17"/>
    <mergeCell ref="AC18:AJ18"/>
    <mergeCell ref="AC19:AJ19"/>
    <mergeCell ref="AC20:AJ20"/>
    <mergeCell ref="AC21:AJ21"/>
    <mergeCell ref="AC22:AJ22"/>
    <mergeCell ref="AC23:AJ23"/>
    <mergeCell ref="AC24:AJ24"/>
    <mergeCell ref="AC25:AJ25"/>
    <mergeCell ref="AC26:AJ26"/>
    <mergeCell ref="AC27:AJ27"/>
    <mergeCell ref="AC28:AJ28"/>
    <mergeCell ref="B29:B62"/>
    <mergeCell ref="AC29:AJ29"/>
    <mergeCell ref="AC30:AJ30"/>
    <mergeCell ref="AC31:AJ31"/>
    <mergeCell ref="AC32:AJ32"/>
    <mergeCell ref="AC33:AJ33"/>
    <mergeCell ref="AC34:AJ34"/>
    <mergeCell ref="K35:AB35"/>
    <mergeCell ref="J43:AJ43"/>
    <mergeCell ref="AC45:AJ45"/>
    <mergeCell ref="AC46:AJ46"/>
    <mergeCell ref="AC47:AJ47"/>
    <mergeCell ref="AC48:AJ48"/>
    <mergeCell ref="AC49:AJ49"/>
    <mergeCell ref="AC50:AJ50"/>
    <mergeCell ref="AC51:AJ51"/>
    <mergeCell ref="AC52:AJ52"/>
    <mergeCell ref="AC53:AJ53"/>
    <mergeCell ref="AC54:AJ54"/>
    <mergeCell ref="AC55:AJ55"/>
    <mergeCell ref="AC56:AJ56"/>
    <mergeCell ref="AC57:AJ57"/>
    <mergeCell ref="AC58:AJ58"/>
    <mergeCell ref="AC59:AJ59"/>
    <mergeCell ref="AC60:AJ60"/>
    <mergeCell ref="AC61:AJ61"/>
    <mergeCell ref="AC62:AJ62"/>
    <mergeCell ref="B63:B106"/>
    <mergeCell ref="AC63:AJ63"/>
    <mergeCell ref="AC64:AJ64"/>
    <mergeCell ref="AC65:AJ65"/>
    <mergeCell ref="AC66:AJ66"/>
    <mergeCell ref="AC67:AJ67"/>
    <mergeCell ref="AC68:AJ68"/>
    <mergeCell ref="K69:AB69"/>
    <mergeCell ref="J77:AJ77"/>
    <mergeCell ref="AC79:AH79"/>
    <mergeCell ref="J124:AH124"/>
    <mergeCell ref="M126:R126"/>
    <mergeCell ref="S126:W126"/>
    <mergeCell ref="M127:R127"/>
    <mergeCell ref="S127:W127"/>
    <mergeCell ref="M128:R128"/>
    <mergeCell ref="S128:W128"/>
    <mergeCell ref="J157:AC157"/>
    <mergeCell ref="M129:R129"/>
    <mergeCell ref="S129:W129"/>
    <mergeCell ref="M130:R130"/>
    <mergeCell ref="S130:W130"/>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AK154"/>
  <sheetViews>
    <sheetView zoomScale="55" zoomScaleNormal="55" workbookViewId="0" topLeftCell="A1">
      <selection activeCell="B9" sqref="B9:G9"/>
    </sheetView>
  </sheetViews>
  <sheetFormatPr defaultColWidth="9.140625" defaultRowHeight="12.75"/>
  <cols>
    <col min="1" max="1" width="2.421875" style="0" customWidth="1"/>
    <col min="2" max="2" width="11.421875" style="0" customWidth="1"/>
    <col min="3" max="3" width="80.140625" style="0" bestFit="1" customWidth="1"/>
    <col min="4" max="4" width="12.7109375" style="0" customWidth="1"/>
    <col min="5" max="5" width="19.28125" style="0" bestFit="1" customWidth="1"/>
    <col min="6" max="7" width="13.57421875" style="0" customWidth="1"/>
    <col min="8" max="8" width="3.00390625" style="0" customWidth="1"/>
    <col min="9" max="9" width="3.7109375" style="0" customWidth="1"/>
    <col min="10" max="10" width="6.7109375" style="0" customWidth="1"/>
    <col min="11" max="11" width="36.421875" style="0" customWidth="1"/>
    <col min="12" max="12" width="16.140625" style="0" customWidth="1"/>
    <col min="13" max="13" width="11.28125" style="0" customWidth="1"/>
    <col min="14" max="14" width="9.57421875" style="0" customWidth="1"/>
    <col min="15" max="15" width="21.7109375" style="0" customWidth="1"/>
    <col min="16" max="17" width="18.28125" style="0" customWidth="1"/>
    <col min="18" max="18" width="21.7109375" style="0" customWidth="1"/>
    <col min="19" max="19" width="6.140625" style="0" customWidth="1"/>
    <col min="20" max="20" width="30.421875" style="0" customWidth="1"/>
    <col min="21" max="21" width="8.140625" style="0" customWidth="1"/>
    <col min="22" max="22" width="8.28125" style="0" customWidth="1"/>
    <col min="23" max="23" width="9.8515625" style="0" customWidth="1"/>
    <col min="24" max="24" width="12.421875" style="0" customWidth="1"/>
    <col min="25" max="25" width="15.57421875" style="0" bestFit="1" customWidth="1"/>
    <col min="26" max="26" width="9.28125" style="0" bestFit="1" customWidth="1"/>
    <col min="27" max="27" width="9.421875" style="0" customWidth="1"/>
    <col min="28" max="28" width="9.00390625" style="0" customWidth="1"/>
    <col min="29" max="29" width="24.140625" style="0" customWidth="1"/>
    <col min="30" max="30" width="11.421875" style="0" customWidth="1"/>
    <col min="31" max="31" width="10.8515625" style="0" customWidth="1"/>
    <col min="32" max="32" width="11.421875" style="0" customWidth="1"/>
    <col min="33" max="33" width="12.28125" style="0" bestFit="1" customWidth="1"/>
    <col min="34" max="34" width="16.140625" style="0" bestFit="1" customWidth="1"/>
    <col min="35" max="35" width="22.7109375" style="0" customWidth="1"/>
    <col min="36" max="37" width="12.28125" style="0" bestFit="1" customWidth="1"/>
    <col min="38" max="16384" width="11.421875" style="0" customWidth="1"/>
  </cols>
  <sheetData>
    <row r="1" spans="1:37" ht="14.2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row>
    <row r="2" spans="1:37" ht="15" thickBot="1">
      <c r="A2" s="12"/>
      <c r="B2" s="12"/>
      <c r="C2" s="12"/>
      <c r="D2" s="12"/>
      <c r="E2" s="12"/>
      <c r="F2" s="12"/>
      <c r="G2" s="870"/>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34.5" thickBot="1">
      <c r="A3" s="12"/>
      <c r="B3" s="1429" t="s">
        <v>2205</v>
      </c>
      <c r="C3" s="1430"/>
      <c r="D3" s="1430"/>
      <c r="E3" s="1430"/>
      <c r="F3" s="1430"/>
      <c r="G3" s="1430"/>
      <c r="H3" s="1430"/>
      <c r="I3" s="1430"/>
      <c r="J3" s="1430"/>
      <c r="K3" s="1430"/>
      <c r="L3" s="1430"/>
      <c r="M3" s="1430"/>
      <c r="N3" s="1430"/>
      <c r="O3" s="1430"/>
      <c r="P3" s="1430"/>
      <c r="Q3" s="1430"/>
      <c r="R3" s="1430"/>
      <c r="S3" s="1430"/>
      <c r="T3" s="1430"/>
      <c r="U3" s="1430"/>
      <c r="V3" s="1430"/>
      <c r="W3" s="1430"/>
      <c r="X3" s="1430"/>
      <c r="Y3" s="1430"/>
      <c r="Z3" s="1430"/>
      <c r="AA3" s="1430"/>
      <c r="AB3" s="1430"/>
      <c r="AC3" s="1430"/>
      <c r="AD3" s="1430"/>
      <c r="AE3" s="1430"/>
      <c r="AF3" s="1430"/>
      <c r="AG3" s="1430"/>
      <c r="AH3" s="1430"/>
      <c r="AI3" s="1431"/>
      <c r="AJ3" s="12"/>
      <c r="AK3" s="12"/>
    </row>
    <row r="4" spans="1:37" ht="15" thickBot="1">
      <c r="A4" s="12"/>
      <c r="B4" s="12"/>
      <c r="C4" s="12"/>
      <c r="D4" s="12"/>
      <c r="E4" s="12"/>
      <c r="F4" s="12"/>
      <c r="G4" s="870"/>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row>
    <row r="5" spans="1:37" ht="30.75" thickBot="1">
      <c r="A5" s="871"/>
      <c r="B5" s="1405" t="s">
        <v>2263</v>
      </c>
      <c r="C5" s="1406"/>
      <c r="D5" s="1406"/>
      <c r="E5" s="1406"/>
      <c r="F5" s="1406"/>
      <c r="G5" s="1407"/>
      <c r="H5" s="872"/>
      <c r="I5" s="872"/>
      <c r="J5" s="12"/>
      <c r="K5" s="1427" t="s">
        <v>2264</v>
      </c>
      <c r="L5" s="1432"/>
      <c r="M5" s="1359" t="s">
        <v>2206</v>
      </c>
      <c r="N5" s="1360"/>
      <c r="O5" s="1360"/>
      <c r="P5" s="1360"/>
      <c r="Q5" s="1360"/>
      <c r="R5" s="1360"/>
      <c r="S5" s="1360"/>
      <c r="T5" s="1360"/>
      <c r="U5" s="1360"/>
      <c r="V5" s="1360"/>
      <c r="W5" s="1360"/>
      <c r="X5" s="1360"/>
      <c r="Y5" s="1360"/>
      <c r="Z5" s="1360"/>
      <c r="AA5" s="1360"/>
      <c r="AB5" s="1360"/>
      <c r="AC5" s="1361"/>
      <c r="AD5" s="12"/>
      <c r="AE5" s="12"/>
      <c r="AF5" s="12"/>
      <c r="AG5" s="12"/>
      <c r="AH5" s="873"/>
      <c r="AI5" s="873"/>
      <c r="AJ5" s="873"/>
      <c r="AK5" s="871"/>
    </row>
    <row r="6" spans="1:37" ht="15" thickBot="1">
      <c r="A6" s="871"/>
      <c r="B6" s="12"/>
      <c r="C6" s="12"/>
      <c r="D6" s="12"/>
      <c r="E6" s="12"/>
      <c r="F6" s="12"/>
      <c r="G6" s="12"/>
      <c r="H6" s="872"/>
      <c r="I6" s="872"/>
      <c r="J6" s="12"/>
      <c r="K6" s="12"/>
      <c r="L6" s="12"/>
      <c r="M6" s="12"/>
      <c r="N6" s="12"/>
      <c r="O6" s="12"/>
      <c r="P6" s="12"/>
      <c r="Q6" s="12"/>
      <c r="R6" s="12"/>
      <c r="S6" s="12"/>
      <c r="T6" s="12"/>
      <c r="U6" s="12"/>
      <c r="V6" s="12"/>
      <c r="W6" s="12"/>
      <c r="X6" s="12"/>
      <c r="Y6" s="12"/>
      <c r="Z6" s="12"/>
      <c r="AA6" s="12"/>
      <c r="AB6" s="12"/>
      <c r="AC6" s="12"/>
      <c r="AD6" s="12"/>
      <c r="AE6" s="12"/>
      <c r="AF6" s="12"/>
      <c r="AG6" s="12"/>
      <c r="AH6" s="873"/>
      <c r="AI6" s="874"/>
      <c r="AJ6" s="873"/>
      <c r="AK6" s="871"/>
    </row>
    <row r="7" spans="1:37" ht="18.75" thickBot="1">
      <c r="A7" s="871"/>
      <c r="B7" s="1426" t="s">
        <v>2207</v>
      </c>
      <c r="C7" s="1426"/>
      <c r="D7" s="1426"/>
      <c r="E7" s="1426"/>
      <c r="F7" s="1426"/>
      <c r="G7" s="1426"/>
      <c r="H7" s="872"/>
      <c r="I7" s="872"/>
      <c r="J7" s="12"/>
      <c r="K7" s="1427" t="s">
        <v>2267</v>
      </c>
      <c r="L7" s="1428"/>
      <c r="M7" s="1354" t="s">
        <v>2268</v>
      </c>
      <c r="N7" s="1355"/>
      <c r="O7" s="1355"/>
      <c r="P7" s="1355"/>
      <c r="Q7" s="1355"/>
      <c r="R7" s="1355"/>
      <c r="S7" s="1326"/>
      <c r="T7" s="12"/>
      <c r="U7" s="12"/>
      <c r="V7" s="12"/>
      <c r="W7" s="12"/>
      <c r="X7" s="12"/>
      <c r="Y7" s="12"/>
      <c r="Z7" s="12"/>
      <c r="AA7" s="12"/>
      <c r="AB7" s="12"/>
      <c r="AC7" s="12"/>
      <c r="AD7" s="12"/>
      <c r="AE7" s="12"/>
      <c r="AF7" s="12"/>
      <c r="AG7" s="12"/>
      <c r="AH7" s="873"/>
      <c r="AI7" s="874"/>
      <c r="AJ7" s="873"/>
      <c r="AK7" s="871"/>
    </row>
    <row r="8" spans="1:37" ht="15" thickBot="1">
      <c r="A8" s="871"/>
      <c r="B8" s="1426"/>
      <c r="C8" s="1426"/>
      <c r="D8" s="1426"/>
      <c r="E8" s="1426"/>
      <c r="F8" s="1426"/>
      <c r="G8" s="1426"/>
      <c r="H8" s="872"/>
      <c r="I8" s="872"/>
      <c r="J8" s="12"/>
      <c r="K8" s="12"/>
      <c r="L8" s="12"/>
      <c r="M8" s="12"/>
      <c r="N8" s="12"/>
      <c r="O8" s="12"/>
      <c r="P8" s="12"/>
      <c r="Q8" s="12"/>
      <c r="R8" s="12"/>
      <c r="S8" s="12"/>
      <c r="T8" s="12"/>
      <c r="U8" s="12"/>
      <c r="V8" s="12"/>
      <c r="W8" s="12"/>
      <c r="X8" s="12"/>
      <c r="Y8" s="12"/>
      <c r="Z8" s="12"/>
      <c r="AA8" s="12"/>
      <c r="AB8" s="12"/>
      <c r="AC8" s="12"/>
      <c r="AD8" s="12"/>
      <c r="AE8" s="12"/>
      <c r="AF8" s="12"/>
      <c r="AG8" s="12"/>
      <c r="AH8" s="873"/>
      <c r="AI8" s="874"/>
      <c r="AJ8" s="873"/>
      <c r="AK8" s="871"/>
    </row>
    <row r="9" spans="1:37" ht="30.75" thickBot="1">
      <c r="A9" s="871"/>
      <c r="B9" s="1324" t="s">
        <v>1387</v>
      </c>
      <c r="C9" s="1324"/>
      <c r="D9" s="1324"/>
      <c r="E9" s="1324"/>
      <c r="F9" s="1324"/>
      <c r="G9" s="1324"/>
      <c r="H9" s="872"/>
      <c r="I9" s="872"/>
      <c r="J9" s="1405" t="s">
        <v>2269</v>
      </c>
      <c r="K9" s="1406"/>
      <c r="L9" s="1406"/>
      <c r="M9" s="1406"/>
      <c r="N9" s="1406"/>
      <c r="O9" s="1406"/>
      <c r="P9" s="1406"/>
      <c r="Q9" s="1406"/>
      <c r="R9" s="1406"/>
      <c r="S9" s="1406"/>
      <c r="T9" s="1406"/>
      <c r="U9" s="1406"/>
      <c r="V9" s="1406"/>
      <c r="W9" s="1406"/>
      <c r="X9" s="1406"/>
      <c r="Y9" s="1406"/>
      <c r="Z9" s="1406"/>
      <c r="AA9" s="1406"/>
      <c r="AB9" s="1406"/>
      <c r="AC9" s="1406"/>
      <c r="AD9" s="1406"/>
      <c r="AE9" s="1406"/>
      <c r="AF9" s="1406"/>
      <c r="AG9" s="1406"/>
      <c r="AH9" s="1406"/>
      <c r="AI9" s="1407"/>
      <c r="AJ9" s="875"/>
      <c r="AK9" s="871"/>
    </row>
    <row r="10" spans="1:37" ht="15" thickBot="1">
      <c r="A10" s="12"/>
      <c r="B10" s="871"/>
      <c r="C10" s="871"/>
      <c r="D10" s="871"/>
      <c r="E10" s="871"/>
      <c r="F10" s="871"/>
      <c r="G10" s="871"/>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row>
    <row r="11" spans="1:37" ht="29.25" thickBot="1">
      <c r="A11" s="12"/>
      <c r="B11" s="12"/>
      <c r="C11" s="12"/>
      <c r="D11" s="253" t="s">
        <v>2208</v>
      </c>
      <c r="E11" s="253" t="s">
        <v>2271</v>
      </c>
      <c r="F11" s="253" t="s">
        <v>2272</v>
      </c>
      <c r="G11" s="687" t="s">
        <v>2273</v>
      </c>
      <c r="H11" s="12"/>
      <c r="I11" s="12"/>
      <c r="J11" s="876"/>
      <c r="K11" s="877"/>
      <c r="L11" s="259" t="s">
        <v>2365</v>
      </c>
      <c r="M11" s="259" t="s">
        <v>2451</v>
      </c>
      <c r="N11" s="259" t="s">
        <v>2452</v>
      </c>
      <c r="O11" s="259" t="s">
        <v>2283</v>
      </c>
      <c r="P11" s="259" t="s">
        <v>2282</v>
      </c>
      <c r="Q11" s="259" t="s">
        <v>2455</v>
      </c>
      <c r="R11" s="259" t="s">
        <v>2209</v>
      </c>
      <c r="S11" s="259" t="s">
        <v>2274</v>
      </c>
      <c r="T11" s="259" t="s">
        <v>2210</v>
      </c>
      <c r="U11" s="259" t="s">
        <v>2211</v>
      </c>
      <c r="V11" s="259" t="s">
        <v>2277</v>
      </c>
      <c r="W11" s="259" t="s">
        <v>2456</v>
      </c>
      <c r="X11" s="259" t="s">
        <v>2457</v>
      </c>
      <c r="Y11" s="259" t="s">
        <v>2458</v>
      </c>
      <c r="Z11" s="259" t="s">
        <v>2459</v>
      </c>
      <c r="AA11" s="259" t="s">
        <v>2212</v>
      </c>
      <c r="AB11" s="259" t="s">
        <v>2213</v>
      </c>
      <c r="AC11" s="878" t="s">
        <v>2461</v>
      </c>
      <c r="AD11" s="1423" t="s">
        <v>2288</v>
      </c>
      <c r="AE11" s="1424"/>
      <c r="AF11" s="1424"/>
      <c r="AG11" s="1424"/>
      <c r="AH11" s="1424"/>
      <c r="AI11" s="1425"/>
      <c r="AJ11" s="12"/>
      <c r="AK11" s="12"/>
    </row>
    <row r="12" spans="1:37" ht="39">
      <c r="A12" s="12"/>
      <c r="B12" s="1418" t="s">
        <v>2289</v>
      </c>
      <c r="C12" s="879" t="s">
        <v>2465</v>
      </c>
      <c r="D12" s="880" t="s">
        <v>2466</v>
      </c>
      <c r="E12" s="881" t="s">
        <v>2214</v>
      </c>
      <c r="F12" s="24" t="s">
        <v>2293</v>
      </c>
      <c r="G12" s="882"/>
      <c r="H12" s="12"/>
      <c r="I12" s="12"/>
      <c r="J12" s="883" t="s">
        <v>2467</v>
      </c>
      <c r="K12" s="884" t="s">
        <v>2468</v>
      </c>
      <c r="L12" s="885"/>
      <c r="M12" s="886" t="s">
        <v>1106</v>
      </c>
      <c r="N12" s="885"/>
      <c r="O12" s="268" t="s">
        <v>717</v>
      </c>
      <c r="P12" s="885"/>
      <c r="Q12" s="885"/>
      <c r="R12" s="887" t="s">
        <v>718</v>
      </c>
      <c r="S12" s="268" t="s">
        <v>2469</v>
      </c>
      <c r="T12" s="269" t="s">
        <v>719</v>
      </c>
      <c r="U12" s="885"/>
      <c r="V12" s="885">
        <v>-1</v>
      </c>
      <c r="W12" s="885"/>
      <c r="X12" s="885"/>
      <c r="Y12" s="885"/>
      <c r="Z12" s="885"/>
      <c r="AA12" s="885"/>
      <c r="AB12" s="885"/>
      <c r="AC12" s="888" t="s">
        <v>1110</v>
      </c>
      <c r="AD12" s="1338" t="s">
        <v>720</v>
      </c>
      <c r="AE12" s="1411"/>
      <c r="AF12" s="1411"/>
      <c r="AG12" s="1411"/>
      <c r="AH12" s="1411"/>
      <c r="AI12" s="1412"/>
      <c r="AJ12" s="889"/>
      <c r="AK12" s="12"/>
    </row>
    <row r="13" spans="1:37" ht="39">
      <c r="A13" s="12"/>
      <c r="B13" s="1419"/>
      <c r="C13" s="890" t="s">
        <v>2470</v>
      </c>
      <c r="D13" s="891" t="s">
        <v>2471</v>
      </c>
      <c r="E13" s="892" t="s">
        <v>2215</v>
      </c>
      <c r="F13" s="34" t="s">
        <v>2293</v>
      </c>
      <c r="G13" s="893"/>
      <c r="H13" s="12"/>
      <c r="I13" s="12"/>
      <c r="J13" s="883" t="s">
        <v>2473</v>
      </c>
      <c r="K13" s="884" t="s">
        <v>2474</v>
      </c>
      <c r="L13" s="885"/>
      <c r="M13" s="886" t="s">
        <v>1106</v>
      </c>
      <c r="N13" s="885"/>
      <c r="O13" s="268" t="s">
        <v>717</v>
      </c>
      <c r="P13" s="885"/>
      <c r="Q13" s="885"/>
      <c r="R13" s="887" t="s">
        <v>718</v>
      </c>
      <c r="S13" s="268" t="s">
        <v>2469</v>
      </c>
      <c r="T13" s="269" t="s">
        <v>721</v>
      </c>
      <c r="U13" s="885"/>
      <c r="V13" s="885">
        <v>-1</v>
      </c>
      <c r="W13" s="885"/>
      <c r="X13" s="885"/>
      <c r="Y13" s="885"/>
      <c r="Z13" s="885"/>
      <c r="AA13" s="885"/>
      <c r="AB13" s="885"/>
      <c r="AC13" s="888" t="s">
        <v>1110</v>
      </c>
      <c r="AD13" s="1338" t="s">
        <v>722</v>
      </c>
      <c r="AE13" s="1411"/>
      <c r="AF13" s="1411"/>
      <c r="AG13" s="1411"/>
      <c r="AH13" s="1411"/>
      <c r="AI13" s="1412"/>
      <c r="AJ13" s="889"/>
      <c r="AK13" s="12"/>
    </row>
    <row r="14" spans="1:37" ht="39">
      <c r="A14" s="12"/>
      <c r="B14" s="1419"/>
      <c r="C14" s="890" t="s">
        <v>2295</v>
      </c>
      <c r="D14" s="891" t="s">
        <v>2296</v>
      </c>
      <c r="E14" s="892" t="s">
        <v>2216</v>
      </c>
      <c r="F14" s="34" t="s">
        <v>2293</v>
      </c>
      <c r="G14" s="893"/>
      <c r="H14" s="12"/>
      <c r="I14" s="12"/>
      <c r="J14" s="883" t="s">
        <v>2475</v>
      </c>
      <c r="K14" s="884" t="s">
        <v>2476</v>
      </c>
      <c r="L14" s="885"/>
      <c r="M14" s="886" t="s">
        <v>1106</v>
      </c>
      <c r="N14" s="885"/>
      <c r="O14" s="268" t="s">
        <v>717</v>
      </c>
      <c r="P14" s="885"/>
      <c r="Q14" s="885"/>
      <c r="R14" s="887" t="s">
        <v>718</v>
      </c>
      <c r="S14" s="268" t="s">
        <v>2469</v>
      </c>
      <c r="T14" s="269" t="s">
        <v>723</v>
      </c>
      <c r="U14" s="885"/>
      <c r="V14" s="885">
        <v>-1</v>
      </c>
      <c r="W14" s="885"/>
      <c r="X14" s="885"/>
      <c r="Y14" s="885"/>
      <c r="Z14" s="885"/>
      <c r="AA14" s="885"/>
      <c r="AB14" s="885"/>
      <c r="AC14" s="888" t="s">
        <v>1110</v>
      </c>
      <c r="AD14" s="1338" t="s">
        <v>724</v>
      </c>
      <c r="AE14" s="1411"/>
      <c r="AF14" s="1411"/>
      <c r="AG14" s="1411"/>
      <c r="AH14" s="1411"/>
      <c r="AI14" s="1412"/>
      <c r="AJ14" s="889"/>
      <c r="AK14" s="12"/>
    </row>
    <row r="15" spans="1:37" ht="39">
      <c r="A15" s="12"/>
      <c r="B15" s="1419"/>
      <c r="C15" s="890" t="s">
        <v>2299</v>
      </c>
      <c r="D15" s="891" t="s">
        <v>2300</v>
      </c>
      <c r="E15" s="892" t="s">
        <v>2217</v>
      </c>
      <c r="F15" s="37" t="s">
        <v>2302</v>
      </c>
      <c r="G15" s="893"/>
      <c r="H15" s="12"/>
      <c r="I15" s="12"/>
      <c r="J15" s="894" t="s">
        <v>2477</v>
      </c>
      <c r="K15" s="895" t="s">
        <v>725</v>
      </c>
      <c r="L15" s="896" t="s">
        <v>726</v>
      </c>
      <c r="M15" s="896" t="s">
        <v>1118</v>
      </c>
      <c r="N15" s="896"/>
      <c r="O15" s="279" t="s">
        <v>727</v>
      </c>
      <c r="P15" s="897"/>
      <c r="Q15" s="897"/>
      <c r="R15" s="279" t="s">
        <v>728</v>
      </c>
      <c r="S15" s="897"/>
      <c r="T15" s="279" t="s">
        <v>729</v>
      </c>
      <c r="U15" s="897"/>
      <c r="V15" s="897"/>
      <c r="W15" s="897">
        <v>1</v>
      </c>
      <c r="X15" s="897"/>
      <c r="Y15" s="897"/>
      <c r="Z15" s="897"/>
      <c r="AA15" s="897"/>
      <c r="AB15" s="897"/>
      <c r="AC15" s="898" t="s">
        <v>2478</v>
      </c>
      <c r="AD15" s="1338" t="s">
        <v>730</v>
      </c>
      <c r="AE15" s="1411"/>
      <c r="AF15" s="1411"/>
      <c r="AG15" s="1411"/>
      <c r="AH15" s="1411"/>
      <c r="AI15" s="1412"/>
      <c r="AJ15" s="889"/>
      <c r="AK15" s="12"/>
    </row>
    <row r="16" spans="1:37" ht="39">
      <c r="A16" s="12"/>
      <c r="B16" s="1419"/>
      <c r="C16" s="890" t="s">
        <v>2304</v>
      </c>
      <c r="D16" s="891" t="s">
        <v>2305</v>
      </c>
      <c r="E16" s="892" t="s">
        <v>2218</v>
      </c>
      <c r="F16" s="34" t="s">
        <v>2293</v>
      </c>
      <c r="G16" s="893"/>
      <c r="H16" s="12"/>
      <c r="I16" s="12"/>
      <c r="J16" s="894" t="s">
        <v>2479</v>
      </c>
      <c r="K16" s="895" t="s">
        <v>731</v>
      </c>
      <c r="L16" s="896" t="s">
        <v>726</v>
      </c>
      <c r="M16" s="896"/>
      <c r="N16" s="896" t="s">
        <v>1118</v>
      </c>
      <c r="O16" s="899" t="s">
        <v>1124</v>
      </c>
      <c r="P16" s="897"/>
      <c r="Q16" s="897"/>
      <c r="R16" s="899" t="s">
        <v>1125</v>
      </c>
      <c r="S16" s="897"/>
      <c r="T16" s="279" t="s">
        <v>732</v>
      </c>
      <c r="U16" s="897"/>
      <c r="V16" s="897"/>
      <c r="W16" s="897">
        <v>1</v>
      </c>
      <c r="X16" s="897"/>
      <c r="Y16" s="897"/>
      <c r="Z16" s="897"/>
      <c r="AA16" s="897"/>
      <c r="AB16" s="897"/>
      <c r="AC16" s="898" t="s">
        <v>2478</v>
      </c>
      <c r="AD16" s="1338" t="s">
        <v>733</v>
      </c>
      <c r="AE16" s="1411"/>
      <c r="AF16" s="1411"/>
      <c r="AG16" s="1411"/>
      <c r="AH16" s="1411"/>
      <c r="AI16" s="1412"/>
      <c r="AJ16" s="889"/>
      <c r="AK16" s="12"/>
    </row>
    <row r="17" spans="1:37" ht="39">
      <c r="A17" s="12"/>
      <c r="B17" s="1419"/>
      <c r="C17" s="890" t="s">
        <v>2480</v>
      </c>
      <c r="D17" s="891" t="s">
        <v>2310</v>
      </c>
      <c r="E17" s="892" t="s">
        <v>2219</v>
      </c>
      <c r="F17" s="34" t="s">
        <v>2293</v>
      </c>
      <c r="G17" s="893"/>
      <c r="H17" s="12"/>
      <c r="I17" s="12"/>
      <c r="J17" s="894" t="s">
        <v>2482</v>
      </c>
      <c r="K17" s="895" t="s">
        <v>734</v>
      </c>
      <c r="L17" s="896"/>
      <c r="M17" s="896" t="s">
        <v>1118</v>
      </c>
      <c r="N17" s="896"/>
      <c r="O17" s="279" t="s">
        <v>727</v>
      </c>
      <c r="P17" s="896" t="s">
        <v>735</v>
      </c>
      <c r="Q17" s="896" t="s">
        <v>736</v>
      </c>
      <c r="R17" s="279" t="s">
        <v>728</v>
      </c>
      <c r="S17" s="897"/>
      <c r="T17" s="279" t="s">
        <v>737</v>
      </c>
      <c r="U17" s="897"/>
      <c r="V17" s="897"/>
      <c r="W17" s="897">
        <v>1</v>
      </c>
      <c r="X17" s="897"/>
      <c r="Y17" s="897"/>
      <c r="Z17" s="897"/>
      <c r="AA17" s="897"/>
      <c r="AB17" s="897"/>
      <c r="AC17" s="898" t="s">
        <v>2478</v>
      </c>
      <c r="AD17" s="1338" t="s">
        <v>738</v>
      </c>
      <c r="AE17" s="1411"/>
      <c r="AF17" s="1411"/>
      <c r="AG17" s="1411"/>
      <c r="AH17" s="1411"/>
      <c r="AI17" s="1412"/>
      <c r="AJ17" s="889"/>
      <c r="AK17" s="12"/>
    </row>
    <row r="18" spans="1:37" ht="58.5">
      <c r="A18" s="12"/>
      <c r="B18" s="1419"/>
      <c r="C18" s="890" t="s">
        <v>2078</v>
      </c>
      <c r="D18" s="891" t="s">
        <v>2318</v>
      </c>
      <c r="E18" s="892" t="s">
        <v>2220</v>
      </c>
      <c r="F18" s="34" t="s">
        <v>2320</v>
      </c>
      <c r="G18" s="893"/>
      <c r="H18" s="12"/>
      <c r="I18" s="12"/>
      <c r="J18" s="894" t="s">
        <v>2484</v>
      </c>
      <c r="K18" s="895" t="s">
        <v>739</v>
      </c>
      <c r="L18" s="896"/>
      <c r="M18" s="896"/>
      <c r="N18" s="896" t="s">
        <v>1118</v>
      </c>
      <c r="O18" s="899" t="s">
        <v>1124</v>
      </c>
      <c r="P18" s="896" t="s">
        <v>735</v>
      </c>
      <c r="Q18" s="896" t="s">
        <v>736</v>
      </c>
      <c r="R18" s="899" t="s">
        <v>1125</v>
      </c>
      <c r="S18" s="897"/>
      <c r="T18" s="279" t="s">
        <v>740</v>
      </c>
      <c r="U18" s="897"/>
      <c r="V18" s="897"/>
      <c r="W18" s="897">
        <v>1</v>
      </c>
      <c r="X18" s="897"/>
      <c r="Y18" s="897"/>
      <c r="Z18" s="897"/>
      <c r="AA18" s="897"/>
      <c r="AB18" s="897"/>
      <c r="AC18" s="898" t="s">
        <v>2478</v>
      </c>
      <c r="AD18" s="1338" t="s">
        <v>741</v>
      </c>
      <c r="AE18" s="1411"/>
      <c r="AF18" s="1411"/>
      <c r="AG18" s="1411"/>
      <c r="AH18" s="1411"/>
      <c r="AI18" s="1412"/>
      <c r="AJ18" s="889"/>
      <c r="AK18" s="12"/>
    </row>
    <row r="19" spans="1:37" ht="39">
      <c r="A19" s="12"/>
      <c r="B19" s="1419"/>
      <c r="C19" s="58" t="s">
        <v>1035</v>
      </c>
      <c r="D19" s="891" t="s">
        <v>2322</v>
      </c>
      <c r="E19" s="892" t="s">
        <v>2221</v>
      </c>
      <c r="F19" s="34" t="s">
        <v>2320</v>
      </c>
      <c r="G19" s="893"/>
      <c r="H19" s="12"/>
      <c r="I19" s="12"/>
      <c r="J19" s="894" t="s">
        <v>2486</v>
      </c>
      <c r="K19" s="895" t="s">
        <v>2487</v>
      </c>
      <c r="L19" s="896"/>
      <c r="M19" s="897">
        <v>-1</v>
      </c>
      <c r="N19" s="897">
        <v>1</v>
      </c>
      <c r="O19" s="280" t="s">
        <v>2489</v>
      </c>
      <c r="P19" s="897"/>
      <c r="Q19" s="897"/>
      <c r="R19" s="280" t="s">
        <v>2490</v>
      </c>
      <c r="S19" s="897"/>
      <c r="T19" s="279" t="s">
        <v>742</v>
      </c>
      <c r="U19" s="897"/>
      <c r="V19" s="897"/>
      <c r="W19" s="897"/>
      <c r="X19" s="897"/>
      <c r="Y19" s="897"/>
      <c r="Z19" s="897"/>
      <c r="AA19" s="897"/>
      <c r="AB19" s="897"/>
      <c r="AC19" s="900"/>
      <c r="AD19" s="1338" t="s">
        <v>743</v>
      </c>
      <c r="AE19" s="1411"/>
      <c r="AF19" s="1411"/>
      <c r="AG19" s="1411"/>
      <c r="AH19" s="1411"/>
      <c r="AI19" s="1412"/>
      <c r="AJ19" s="889"/>
      <c r="AK19" s="12"/>
    </row>
    <row r="20" spans="1:37" ht="39">
      <c r="A20" s="12"/>
      <c r="B20" s="1419"/>
      <c r="C20" s="890" t="s">
        <v>2491</v>
      </c>
      <c r="D20" s="891" t="s">
        <v>2492</v>
      </c>
      <c r="E20" s="892" t="s">
        <v>2222</v>
      </c>
      <c r="F20" s="34" t="s">
        <v>2320</v>
      </c>
      <c r="G20" s="893"/>
      <c r="H20" s="12"/>
      <c r="I20" s="12"/>
      <c r="J20" s="894" t="s">
        <v>2493</v>
      </c>
      <c r="K20" s="895" t="s">
        <v>2494</v>
      </c>
      <c r="L20" s="896"/>
      <c r="M20" s="897"/>
      <c r="N20" s="897"/>
      <c r="O20" s="280" t="s">
        <v>744</v>
      </c>
      <c r="P20" s="897"/>
      <c r="Q20" s="897"/>
      <c r="R20" s="280" t="s">
        <v>745</v>
      </c>
      <c r="S20" s="897"/>
      <c r="T20" s="279" t="s">
        <v>746</v>
      </c>
      <c r="U20" s="280" t="s">
        <v>2223</v>
      </c>
      <c r="V20" s="899" t="s">
        <v>747</v>
      </c>
      <c r="W20" s="897">
        <v>-1</v>
      </c>
      <c r="X20" s="897"/>
      <c r="Y20" s="897"/>
      <c r="Z20" s="897"/>
      <c r="AA20" s="897"/>
      <c r="AB20" s="897"/>
      <c r="AC20" s="898" t="s">
        <v>748</v>
      </c>
      <c r="AD20" s="1338" t="s">
        <v>749</v>
      </c>
      <c r="AE20" s="1411"/>
      <c r="AF20" s="1411"/>
      <c r="AG20" s="1411"/>
      <c r="AH20" s="1411"/>
      <c r="AI20" s="1412"/>
      <c r="AJ20" s="889"/>
      <c r="AK20" s="12"/>
    </row>
    <row r="21" spans="1:37" ht="58.5">
      <c r="A21" s="12"/>
      <c r="B21" s="1419"/>
      <c r="C21" s="890" t="s">
        <v>2137</v>
      </c>
      <c r="D21" s="891" t="s">
        <v>2224</v>
      </c>
      <c r="E21" s="892" t="s">
        <v>2225</v>
      </c>
      <c r="F21" s="34" t="s">
        <v>2498</v>
      </c>
      <c r="G21" s="893"/>
      <c r="H21" s="12"/>
      <c r="I21" s="12"/>
      <c r="J21" s="901" t="s">
        <v>2499</v>
      </c>
      <c r="K21" s="902" t="s">
        <v>750</v>
      </c>
      <c r="L21" s="903"/>
      <c r="M21" s="904"/>
      <c r="N21" s="904">
        <v>-1</v>
      </c>
      <c r="O21" s="904"/>
      <c r="P21" s="904"/>
      <c r="Q21" s="904"/>
      <c r="R21" s="291" t="s">
        <v>2226</v>
      </c>
      <c r="S21" s="904"/>
      <c r="T21" s="295" t="s">
        <v>751</v>
      </c>
      <c r="U21" s="904"/>
      <c r="V21" s="904"/>
      <c r="W21" s="904"/>
      <c r="X21" s="904"/>
      <c r="Y21" s="905" t="s">
        <v>752</v>
      </c>
      <c r="Z21" s="291" t="s">
        <v>2227</v>
      </c>
      <c r="AA21" s="905" t="s">
        <v>753</v>
      </c>
      <c r="AB21" s="904"/>
      <c r="AC21" s="906" t="s">
        <v>754</v>
      </c>
      <c r="AD21" s="1338" t="s">
        <v>755</v>
      </c>
      <c r="AE21" s="1411"/>
      <c r="AF21" s="1411"/>
      <c r="AG21" s="1411"/>
      <c r="AH21" s="1411"/>
      <c r="AI21" s="1412"/>
      <c r="AJ21" s="889"/>
      <c r="AK21" s="12"/>
    </row>
    <row r="22" spans="1:37" ht="19.5">
      <c r="A22" s="12"/>
      <c r="B22" s="1419"/>
      <c r="C22" s="890" t="s">
        <v>2335</v>
      </c>
      <c r="D22" s="891" t="s">
        <v>2501</v>
      </c>
      <c r="E22" s="892" t="s">
        <v>2228</v>
      </c>
      <c r="F22" s="34" t="s">
        <v>2293</v>
      </c>
      <c r="G22" s="893"/>
      <c r="H22" s="12"/>
      <c r="I22" s="12"/>
      <c r="J22" s="901" t="s">
        <v>2502</v>
      </c>
      <c r="K22" s="902" t="s">
        <v>2229</v>
      </c>
      <c r="L22" s="903"/>
      <c r="M22" s="904"/>
      <c r="N22" s="904"/>
      <c r="O22" s="904"/>
      <c r="P22" s="904"/>
      <c r="Q22" s="904"/>
      <c r="R22" s="904">
        <v>1</v>
      </c>
      <c r="S22" s="904"/>
      <c r="T22" s="295" t="s">
        <v>1297</v>
      </c>
      <c r="U22" s="904"/>
      <c r="V22" s="904"/>
      <c r="W22" s="904"/>
      <c r="X22" s="904"/>
      <c r="Y22" s="904">
        <v>-1</v>
      </c>
      <c r="Z22" s="904"/>
      <c r="AA22" s="904"/>
      <c r="AB22" s="904"/>
      <c r="AC22" s="907" t="s">
        <v>756</v>
      </c>
      <c r="AD22" s="1338" t="s">
        <v>757</v>
      </c>
      <c r="AE22" s="1411"/>
      <c r="AF22" s="1411"/>
      <c r="AG22" s="1411"/>
      <c r="AH22" s="1411"/>
      <c r="AI22" s="1412"/>
      <c r="AJ22" s="889"/>
      <c r="AK22" s="12"/>
    </row>
    <row r="23" spans="1:37" ht="58.5">
      <c r="A23" s="12"/>
      <c r="B23" s="1419"/>
      <c r="C23" s="890" t="s">
        <v>2341</v>
      </c>
      <c r="D23" s="891" t="s">
        <v>2686</v>
      </c>
      <c r="E23" s="892" t="s">
        <v>2230</v>
      </c>
      <c r="F23" s="34" t="s">
        <v>2293</v>
      </c>
      <c r="G23" s="893"/>
      <c r="H23" s="12"/>
      <c r="I23" s="12"/>
      <c r="J23" s="901" t="s">
        <v>2082</v>
      </c>
      <c r="K23" s="902" t="s">
        <v>758</v>
      </c>
      <c r="L23" s="903"/>
      <c r="M23" s="904"/>
      <c r="N23" s="904">
        <v>-1</v>
      </c>
      <c r="O23" s="904"/>
      <c r="P23" s="903" t="s">
        <v>759</v>
      </c>
      <c r="Q23" s="903" t="s">
        <v>760</v>
      </c>
      <c r="R23" s="291" t="s">
        <v>2231</v>
      </c>
      <c r="S23" s="904"/>
      <c r="T23" s="295" t="s">
        <v>761</v>
      </c>
      <c r="U23" s="904"/>
      <c r="V23" s="904"/>
      <c r="W23" s="904"/>
      <c r="X23" s="904"/>
      <c r="Y23" s="905" t="s">
        <v>762</v>
      </c>
      <c r="Z23" s="291" t="s">
        <v>2232</v>
      </c>
      <c r="AA23" s="904"/>
      <c r="AB23" s="904"/>
      <c r="AC23" s="906" t="s">
        <v>763</v>
      </c>
      <c r="AD23" s="1338" t="s">
        <v>764</v>
      </c>
      <c r="AE23" s="1411"/>
      <c r="AF23" s="1411"/>
      <c r="AG23" s="1411"/>
      <c r="AH23" s="1411"/>
      <c r="AI23" s="1412"/>
      <c r="AJ23" s="889"/>
      <c r="AK23" s="12"/>
    </row>
    <row r="24" spans="1:37" ht="54">
      <c r="A24" s="12"/>
      <c r="B24" s="1419"/>
      <c r="C24" s="890" t="s">
        <v>2505</v>
      </c>
      <c r="D24" s="891" t="s">
        <v>2506</v>
      </c>
      <c r="E24" s="892" t="s">
        <v>2233</v>
      </c>
      <c r="F24" s="34" t="s">
        <v>2293</v>
      </c>
      <c r="G24" s="893"/>
      <c r="H24" s="12"/>
      <c r="I24" s="12"/>
      <c r="J24" s="901" t="s">
        <v>2234</v>
      </c>
      <c r="K24" s="902" t="s">
        <v>2235</v>
      </c>
      <c r="L24" s="903"/>
      <c r="M24" s="904"/>
      <c r="N24" s="904"/>
      <c r="O24" s="908" t="s">
        <v>765</v>
      </c>
      <c r="P24" s="903" t="s">
        <v>766</v>
      </c>
      <c r="Q24" s="903" t="s">
        <v>767</v>
      </c>
      <c r="R24" s="908" t="s">
        <v>768</v>
      </c>
      <c r="S24" s="904"/>
      <c r="T24" s="295" t="s">
        <v>769</v>
      </c>
      <c r="U24" s="904"/>
      <c r="V24" s="904"/>
      <c r="W24" s="904"/>
      <c r="X24" s="903" t="s">
        <v>770</v>
      </c>
      <c r="Y24" s="904"/>
      <c r="Z24" s="904">
        <v>-1</v>
      </c>
      <c r="AA24" s="904"/>
      <c r="AB24" s="904"/>
      <c r="AC24" s="906" t="s">
        <v>771</v>
      </c>
      <c r="AD24" s="1338" t="s">
        <v>772</v>
      </c>
      <c r="AE24" s="1411"/>
      <c r="AF24" s="1411"/>
      <c r="AG24" s="1411"/>
      <c r="AH24" s="1411"/>
      <c r="AI24" s="1412"/>
      <c r="AJ24" s="889"/>
      <c r="AK24" s="12"/>
    </row>
    <row r="25" spans="1:37" ht="58.5">
      <c r="A25" s="12"/>
      <c r="B25" s="1419"/>
      <c r="C25" s="890" t="s">
        <v>2139</v>
      </c>
      <c r="D25" s="891" t="s">
        <v>2508</v>
      </c>
      <c r="E25" s="892" t="s">
        <v>2236</v>
      </c>
      <c r="F25" s="34" t="s">
        <v>2293</v>
      </c>
      <c r="G25" s="909"/>
      <c r="H25" s="12"/>
      <c r="I25" s="12"/>
      <c r="J25" s="901" t="s">
        <v>2237</v>
      </c>
      <c r="K25" s="902" t="s">
        <v>773</v>
      </c>
      <c r="L25" s="903"/>
      <c r="M25" s="904"/>
      <c r="N25" s="904"/>
      <c r="O25" s="295" t="s">
        <v>774</v>
      </c>
      <c r="P25" s="903" t="s">
        <v>775</v>
      </c>
      <c r="Q25" s="903" t="s">
        <v>776</v>
      </c>
      <c r="R25" s="295" t="s">
        <v>777</v>
      </c>
      <c r="S25" s="904"/>
      <c r="T25" s="295" t="s">
        <v>778</v>
      </c>
      <c r="U25" s="904"/>
      <c r="V25" s="904"/>
      <c r="W25" s="904"/>
      <c r="X25" s="903" t="s">
        <v>779</v>
      </c>
      <c r="Y25" s="904" t="s">
        <v>2467</v>
      </c>
      <c r="Z25" s="904"/>
      <c r="AA25" s="904"/>
      <c r="AB25" s="904"/>
      <c r="AC25" s="907" t="s">
        <v>780</v>
      </c>
      <c r="AD25" s="1338" t="s">
        <v>781</v>
      </c>
      <c r="AE25" s="1411"/>
      <c r="AF25" s="1411"/>
      <c r="AG25" s="1411"/>
      <c r="AH25" s="1411"/>
      <c r="AI25" s="1412"/>
      <c r="AJ25" s="889"/>
      <c r="AK25" s="12"/>
    </row>
    <row r="26" spans="1:37" ht="54">
      <c r="A26" s="12"/>
      <c r="B26" s="1419"/>
      <c r="C26" s="890" t="s">
        <v>2238</v>
      </c>
      <c r="D26" s="891" t="s">
        <v>2239</v>
      </c>
      <c r="E26" s="892" t="s">
        <v>2240</v>
      </c>
      <c r="F26" s="34" t="s">
        <v>2293</v>
      </c>
      <c r="G26" s="909"/>
      <c r="H26" s="12"/>
      <c r="I26" s="12"/>
      <c r="J26" s="901" t="s">
        <v>2241</v>
      </c>
      <c r="K26" s="902" t="s">
        <v>2242</v>
      </c>
      <c r="L26" s="903"/>
      <c r="M26" s="904"/>
      <c r="N26" s="904"/>
      <c r="O26" s="295" t="s">
        <v>782</v>
      </c>
      <c r="P26" s="903" t="s">
        <v>783</v>
      </c>
      <c r="Q26" s="903" t="s">
        <v>784</v>
      </c>
      <c r="R26" s="295" t="s">
        <v>785</v>
      </c>
      <c r="S26" s="904"/>
      <c r="T26" s="295" t="s">
        <v>786</v>
      </c>
      <c r="U26" s="904"/>
      <c r="V26" s="904"/>
      <c r="W26" s="904"/>
      <c r="X26" s="903" t="s">
        <v>787</v>
      </c>
      <c r="Y26" s="904"/>
      <c r="Z26" s="904"/>
      <c r="AA26" s="904">
        <v>1</v>
      </c>
      <c r="AB26" s="904"/>
      <c r="AC26" s="907" t="s">
        <v>788</v>
      </c>
      <c r="AD26" s="1338" t="s">
        <v>789</v>
      </c>
      <c r="AE26" s="1411"/>
      <c r="AF26" s="1411"/>
      <c r="AG26" s="1411"/>
      <c r="AH26" s="1411"/>
      <c r="AI26" s="1412"/>
      <c r="AJ26" s="889"/>
      <c r="AK26" s="12"/>
    </row>
    <row r="27" spans="1:37" ht="39">
      <c r="A27" s="12"/>
      <c r="B27" s="1419"/>
      <c r="C27" s="890" t="s">
        <v>2510</v>
      </c>
      <c r="D27" s="891" t="s">
        <v>2511</v>
      </c>
      <c r="E27" s="892" t="s">
        <v>2243</v>
      </c>
      <c r="F27" s="34" t="s">
        <v>2498</v>
      </c>
      <c r="G27" s="909"/>
      <c r="H27" s="12"/>
      <c r="I27" s="12"/>
      <c r="J27" s="901" t="s">
        <v>2244</v>
      </c>
      <c r="K27" s="902" t="s">
        <v>2245</v>
      </c>
      <c r="L27" s="903"/>
      <c r="M27" s="904"/>
      <c r="N27" s="904"/>
      <c r="O27" s="295" t="s">
        <v>2537</v>
      </c>
      <c r="P27" s="903" t="s">
        <v>790</v>
      </c>
      <c r="Q27" s="903" t="s">
        <v>791</v>
      </c>
      <c r="R27" s="295" t="s">
        <v>2544</v>
      </c>
      <c r="S27" s="904"/>
      <c r="T27" s="295" t="s">
        <v>792</v>
      </c>
      <c r="U27" s="904"/>
      <c r="V27" s="904"/>
      <c r="W27" s="904"/>
      <c r="X27" s="904">
        <v>-1</v>
      </c>
      <c r="Y27" s="904"/>
      <c r="Z27" s="904"/>
      <c r="AA27" s="904"/>
      <c r="AB27" s="904"/>
      <c r="AC27" s="907" t="s">
        <v>793</v>
      </c>
      <c r="AD27" s="1338" t="s">
        <v>794</v>
      </c>
      <c r="AE27" s="1411"/>
      <c r="AF27" s="1411"/>
      <c r="AG27" s="1411"/>
      <c r="AH27" s="1411"/>
      <c r="AI27" s="1412"/>
      <c r="AJ27" s="889"/>
      <c r="AK27" s="12"/>
    </row>
    <row r="28" spans="1:37" ht="39">
      <c r="A28" s="12"/>
      <c r="B28" s="1419"/>
      <c r="C28" s="890" t="s">
        <v>1037</v>
      </c>
      <c r="D28" s="891" t="s">
        <v>2132</v>
      </c>
      <c r="E28" s="892" t="s">
        <v>2246</v>
      </c>
      <c r="F28" s="34" t="s">
        <v>1038</v>
      </c>
      <c r="G28" s="909"/>
      <c r="H28" s="12"/>
      <c r="I28" s="12"/>
      <c r="J28" s="901" t="s">
        <v>2247</v>
      </c>
      <c r="K28" s="902" t="s">
        <v>2248</v>
      </c>
      <c r="L28" s="903" t="s">
        <v>795</v>
      </c>
      <c r="M28" s="904"/>
      <c r="N28" s="904"/>
      <c r="O28" s="908" t="s">
        <v>796</v>
      </c>
      <c r="P28" s="904"/>
      <c r="Q28" s="904"/>
      <c r="R28" s="908" t="s">
        <v>797</v>
      </c>
      <c r="S28" s="904"/>
      <c r="T28" s="295" t="s">
        <v>798</v>
      </c>
      <c r="U28" s="904"/>
      <c r="V28" s="904"/>
      <c r="W28" s="904"/>
      <c r="X28" s="903" t="s">
        <v>799</v>
      </c>
      <c r="Y28" s="904"/>
      <c r="Z28" s="904">
        <v>-1</v>
      </c>
      <c r="AA28" s="904"/>
      <c r="AB28" s="904"/>
      <c r="AC28" s="906" t="s">
        <v>800</v>
      </c>
      <c r="AD28" s="1338" t="s">
        <v>801</v>
      </c>
      <c r="AE28" s="1411"/>
      <c r="AF28" s="1411"/>
      <c r="AG28" s="1411"/>
      <c r="AH28" s="1411"/>
      <c r="AI28" s="1412"/>
      <c r="AJ28" s="889"/>
      <c r="AK28" s="12"/>
    </row>
    <row r="29" spans="1:37" ht="39.75" thickBot="1">
      <c r="A29" s="12"/>
      <c r="B29" s="1420"/>
      <c r="C29" s="910" t="s">
        <v>2519</v>
      </c>
      <c r="D29" s="911" t="s">
        <v>2520</v>
      </c>
      <c r="E29" s="912" t="s">
        <v>2249</v>
      </c>
      <c r="F29" s="79" t="s">
        <v>2515</v>
      </c>
      <c r="G29" s="913"/>
      <c r="H29" s="12"/>
      <c r="I29" s="12"/>
      <c r="J29" s="901" t="s">
        <v>2250</v>
      </c>
      <c r="K29" s="902" t="s">
        <v>802</v>
      </c>
      <c r="L29" s="903" t="s">
        <v>803</v>
      </c>
      <c r="M29" s="904"/>
      <c r="N29" s="904"/>
      <c r="O29" s="295" t="s">
        <v>804</v>
      </c>
      <c r="P29" s="904"/>
      <c r="Q29" s="904"/>
      <c r="R29" s="295" t="s">
        <v>805</v>
      </c>
      <c r="S29" s="904"/>
      <c r="T29" s="295" t="s">
        <v>806</v>
      </c>
      <c r="U29" s="904"/>
      <c r="V29" s="904"/>
      <c r="W29" s="904"/>
      <c r="X29" s="903" t="s">
        <v>803</v>
      </c>
      <c r="Y29" s="904" t="s">
        <v>2467</v>
      </c>
      <c r="Z29" s="904"/>
      <c r="AA29" s="904"/>
      <c r="AB29" s="904"/>
      <c r="AC29" s="907" t="s">
        <v>807</v>
      </c>
      <c r="AD29" s="1338" t="s">
        <v>808</v>
      </c>
      <c r="AE29" s="1411"/>
      <c r="AF29" s="1411"/>
      <c r="AG29" s="1411"/>
      <c r="AH29" s="1411"/>
      <c r="AI29" s="1412"/>
      <c r="AJ29" s="889"/>
      <c r="AK29" s="12"/>
    </row>
    <row r="30" spans="1:37" ht="39">
      <c r="A30" s="12"/>
      <c r="B30" s="1418" t="s">
        <v>2349</v>
      </c>
      <c r="C30" s="914" t="s">
        <v>2521</v>
      </c>
      <c r="D30" s="915" t="s">
        <v>2522</v>
      </c>
      <c r="E30" s="916" t="s">
        <v>2251</v>
      </c>
      <c r="F30" s="723" t="s">
        <v>1192</v>
      </c>
      <c r="G30" s="917">
        <v>0</v>
      </c>
      <c r="H30" s="12"/>
      <c r="I30" s="12"/>
      <c r="J30" s="901" t="s">
        <v>2252</v>
      </c>
      <c r="K30" s="902" t="s">
        <v>2253</v>
      </c>
      <c r="L30" s="903" t="s">
        <v>809</v>
      </c>
      <c r="M30" s="904"/>
      <c r="N30" s="904"/>
      <c r="O30" s="295" t="s">
        <v>810</v>
      </c>
      <c r="P30" s="904"/>
      <c r="Q30" s="904"/>
      <c r="R30" s="295" t="s">
        <v>811</v>
      </c>
      <c r="S30" s="904"/>
      <c r="T30" s="295" t="s">
        <v>812</v>
      </c>
      <c r="U30" s="904"/>
      <c r="V30" s="904"/>
      <c r="W30" s="904"/>
      <c r="X30" s="903" t="s">
        <v>813</v>
      </c>
      <c r="Y30" s="904"/>
      <c r="Z30" s="904"/>
      <c r="AA30" s="904">
        <v>1</v>
      </c>
      <c r="AB30" s="904"/>
      <c r="AC30" s="907" t="s">
        <v>814</v>
      </c>
      <c r="AD30" s="1338" t="s">
        <v>815</v>
      </c>
      <c r="AE30" s="1411"/>
      <c r="AF30" s="1411"/>
      <c r="AG30" s="1411"/>
      <c r="AH30" s="1411"/>
      <c r="AI30" s="1412"/>
      <c r="AJ30" s="889"/>
      <c r="AK30" s="12"/>
    </row>
    <row r="31" spans="1:37" ht="39">
      <c r="A31" s="12"/>
      <c r="B31" s="1419"/>
      <c r="C31" s="918" t="s">
        <v>1196</v>
      </c>
      <c r="D31" s="919" t="s">
        <v>2350</v>
      </c>
      <c r="E31" s="404" t="s">
        <v>2351</v>
      </c>
      <c r="F31" s="724" t="s">
        <v>1040</v>
      </c>
      <c r="G31" s="920">
        <v>0.63</v>
      </c>
      <c r="H31" s="12"/>
      <c r="I31" s="12"/>
      <c r="J31" s="901" t="s">
        <v>2254</v>
      </c>
      <c r="K31" s="902" t="s">
        <v>2255</v>
      </c>
      <c r="L31" s="921">
        <v>-1</v>
      </c>
      <c r="M31" s="904"/>
      <c r="N31" s="904"/>
      <c r="O31" s="291" t="s">
        <v>2537</v>
      </c>
      <c r="P31" s="904"/>
      <c r="Q31" s="904"/>
      <c r="R31" s="291" t="s">
        <v>2544</v>
      </c>
      <c r="S31" s="904"/>
      <c r="T31" s="295" t="s">
        <v>816</v>
      </c>
      <c r="U31" s="904"/>
      <c r="V31" s="904"/>
      <c r="W31" s="904"/>
      <c r="X31" s="904">
        <v>-1</v>
      </c>
      <c r="Y31" s="904"/>
      <c r="Z31" s="904"/>
      <c r="AA31" s="904"/>
      <c r="AB31" s="904"/>
      <c r="AC31" s="907" t="s">
        <v>793</v>
      </c>
      <c r="AD31" s="1338" t="s">
        <v>817</v>
      </c>
      <c r="AE31" s="1411"/>
      <c r="AF31" s="1411"/>
      <c r="AG31" s="1411"/>
      <c r="AH31" s="1411"/>
      <c r="AI31" s="1412"/>
      <c r="AJ31" s="889"/>
      <c r="AK31" s="12"/>
    </row>
    <row r="32" spans="1:37" ht="39">
      <c r="A32" s="12"/>
      <c r="B32" s="1419"/>
      <c r="C32" s="918" t="s">
        <v>620</v>
      </c>
      <c r="D32" s="919" t="s">
        <v>2256</v>
      </c>
      <c r="E32" s="404" t="s">
        <v>2257</v>
      </c>
      <c r="F32" s="724" t="s">
        <v>1202</v>
      </c>
      <c r="G32" s="920">
        <v>0.1</v>
      </c>
      <c r="H32" s="12"/>
      <c r="I32" s="12"/>
      <c r="J32" s="922" t="s">
        <v>2258</v>
      </c>
      <c r="K32" s="923" t="s">
        <v>818</v>
      </c>
      <c r="L32" s="924" t="s">
        <v>819</v>
      </c>
      <c r="M32" s="925"/>
      <c r="N32" s="925"/>
      <c r="O32" s="924" t="s">
        <v>820</v>
      </c>
      <c r="P32" s="924" t="s">
        <v>1187</v>
      </c>
      <c r="Q32" s="925"/>
      <c r="R32" s="926" t="s">
        <v>1125</v>
      </c>
      <c r="S32" s="925"/>
      <c r="T32" s="309" t="s">
        <v>821</v>
      </c>
      <c r="U32" s="925"/>
      <c r="V32" s="925"/>
      <c r="W32" s="925"/>
      <c r="X32" s="925"/>
      <c r="Y32" s="925"/>
      <c r="Z32" s="925"/>
      <c r="AA32" s="925"/>
      <c r="AB32" s="925" t="s">
        <v>2467</v>
      </c>
      <c r="AC32" s="927" t="s">
        <v>822</v>
      </c>
      <c r="AD32" s="1338" t="s">
        <v>823</v>
      </c>
      <c r="AE32" s="1411"/>
      <c r="AF32" s="1411"/>
      <c r="AG32" s="1411"/>
      <c r="AH32" s="1411"/>
      <c r="AI32" s="1412"/>
      <c r="AJ32" s="889"/>
      <c r="AK32" s="12"/>
    </row>
    <row r="33" spans="1:37" ht="39.75" thickBot="1">
      <c r="A33" s="12"/>
      <c r="B33" s="1419"/>
      <c r="C33" s="928" t="s">
        <v>824</v>
      </c>
      <c r="D33" s="929" t="s">
        <v>1761</v>
      </c>
      <c r="E33" s="930" t="s">
        <v>1762</v>
      </c>
      <c r="F33" s="733" t="s">
        <v>825</v>
      </c>
      <c r="G33" s="931">
        <v>1.39</v>
      </c>
      <c r="H33" s="12"/>
      <c r="I33" s="12"/>
      <c r="J33" s="932" t="s">
        <v>1763</v>
      </c>
      <c r="K33" s="933" t="s">
        <v>2494</v>
      </c>
      <c r="L33" s="934"/>
      <c r="M33" s="934"/>
      <c r="N33" s="934"/>
      <c r="O33" s="935" t="s">
        <v>826</v>
      </c>
      <c r="P33" s="934"/>
      <c r="Q33" s="934"/>
      <c r="R33" s="935" t="s">
        <v>827</v>
      </c>
      <c r="S33" s="934"/>
      <c r="T33" s="936" t="s">
        <v>828</v>
      </c>
      <c r="U33" s="935" t="s">
        <v>1764</v>
      </c>
      <c r="V33" s="937" t="s">
        <v>829</v>
      </c>
      <c r="W33" s="934"/>
      <c r="X33" s="934"/>
      <c r="Y33" s="934"/>
      <c r="Z33" s="934"/>
      <c r="AA33" s="934"/>
      <c r="AB33" s="934" t="s">
        <v>2488</v>
      </c>
      <c r="AC33" s="938" t="s">
        <v>830</v>
      </c>
      <c r="AD33" s="1341" t="s">
        <v>831</v>
      </c>
      <c r="AE33" s="1413"/>
      <c r="AF33" s="1413"/>
      <c r="AG33" s="1413"/>
      <c r="AH33" s="1413"/>
      <c r="AI33" s="1414"/>
      <c r="AJ33" s="889"/>
      <c r="AK33" s="12"/>
    </row>
    <row r="34" spans="1:37" ht="20.25" thickBot="1">
      <c r="A34" s="12"/>
      <c r="B34" s="1419"/>
      <c r="C34" s="928" t="s">
        <v>832</v>
      </c>
      <c r="D34" s="929" t="s">
        <v>1765</v>
      </c>
      <c r="E34" s="930" t="s">
        <v>1766</v>
      </c>
      <c r="F34" s="733" t="s">
        <v>825</v>
      </c>
      <c r="G34" s="931">
        <v>1.72</v>
      </c>
      <c r="H34" s="12"/>
      <c r="I34" s="12"/>
      <c r="J34" s="12"/>
      <c r="K34" s="1415" t="s">
        <v>2328</v>
      </c>
      <c r="L34" s="1416"/>
      <c r="M34" s="1416"/>
      <c r="N34" s="1416"/>
      <c r="O34" s="1416"/>
      <c r="P34" s="1416"/>
      <c r="Q34" s="1416"/>
      <c r="R34" s="1416"/>
      <c r="S34" s="1416"/>
      <c r="T34" s="1416"/>
      <c r="U34" s="1416"/>
      <c r="V34" s="1416"/>
      <c r="W34" s="1416"/>
      <c r="X34" s="1416"/>
      <c r="Y34" s="1416"/>
      <c r="Z34" s="1416"/>
      <c r="AA34" s="1416"/>
      <c r="AB34" s="1416"/>
      <c r="AC34" s="1417"/>
      <c r="AD34" s="12"/>
      <c r="AE34" s="12"/>
      <c r="AF34" s="12"/>
      <c r="AG34" s="12"/>
      <c r="AH34" s="12"/>
      <c r="AI34" s="12"/>
      <c r="AJ34" s="12"/>
      <c r="AK34" s="12"/>
    </row>
    <row r="35" spans="1:37" ht="19.5">
      <c r="A35" s="12"/>
      <c r="B35" s="1419"/>
      <c r="C35" s="928" t="s">
        <v>833</v>
      </c>
      <c r="D35" s="929" t="s">
        <v>1767</v>
      </c>
      <c r="E35" s="930" t="s">
        <v>1768</v>
      </c>
      <c r="F35" s="733" t="s">
        <v>1349</v>
      </c>
      <c r="G35" s="931">
        <v>3.02</v>
      </c>
      <c r="H35" s="12"/>
      <c r="I35" s="12"/>
      <c r="J35" s="12"/>
      <c r="K35" s="939" t="s">
        <v>2332</v>
      </c>
      <c r="L35" s="940" t="s">
        <v>2488</v>
      </c>
      <c r="M35" s="940" t="s">
        <v>2467</v>
      </c>
      <c r="N35" s="940" t="s">
        <v>2467</v>
      </c>
      <c r="O35" s="940"/>
      <c r="P35" s="941" t="s">
        <v>2333</v>
      </c>
      <c r="Q35" s="941" t="s">
        <v>2531</v>
      </c>
      <c r="R35" s="940"/>
      <c r="S35" s="940">
        <v>1</v>
      </c>
      <c r="T35" s="940"/>
      <c r="U35" s="940">
        <v>1</v>
      </c>
      <c r="V35" s="940">
        <v>1</v>
      </c>
      <c r="W35" s="940">
        <v>1</v>
      </c>
      <c r="X35" s="940">
        <v>1</v>
      </c>
      <c r="Y35" s="940"/>
      <c r="Z35" s="940">
        <v>1</v>
      </c>
      <c r="AA35" s="940">
        <v>1</v>
      </c>
      <c r="AB35" s="940">
        <v>1</v>
      </c>
      <c r="AC35" s="942"/>
      <c r="AD35" s="12"/>
      <c r="AE35" s="12"/>
      <c r="AF35" s="12"/>
      <c r="AG35" s="12"/>
      <c r="AH35" s="12"/>
      <c r="AI35" s="12"/>
      <c r="AJ35" s="12"/>
      <c r="AK35" s="12"/>
    </row>
    <row r="36" spans="1:37" ht="19.5">
      <c r="A36" s="12"/>
      <c r="B36" s="1419"/>
      <c r="C36" s="928" t="s">
        <v>834</v>
      </c>
      <c r="D36" s="929" t="s">
        <v>1769</v>
      </c>
      <c r="E36" s="930" t="s">
        <v>1770</v>
      </c>
      <c r="F36" s="733" t="s">
        <v>1349</v>
      </c>
      <c r="G36" s="931">
        <v>4.42</v>
      </c>
      <c r="H36" s="12"/>
      <c r="I36" s="12"/>
      <c r="J36" s="12"/>
      <c r="K36" s="943" t="s">
        <v>2338</v>
      </c>
      <c r="L36" s="944"/>
      <c r="M36" s="345" t="s">
        <v>2489</v>
      </c>
      <c r="N36" s="944"/>
      <c r="O36" s="944">
        <v>1</v>
      </c>
      <c r="P36" s="944">
        <v>1</v>
      </c>
      <c r="Q36" s="944">
        <v>1</v>
      </c>
      <c r="R36" s="944"/>
      <c r="S36" s="345" t="s">
        <v>2534</v>
      </c>
      <c r="T36" s="944"/>
      <c r="U36" s="345" t="s">
        <v>2535</v>
      </c>
      <c r="V36" s="345" t="s">
        <v>2536</v>
      </c>
      <c r="W36" s="345" t="s">
        <v>2537</v>
      </c>
      <c r="X36" s="345" t="s">
        <v>2537</v>
      </c>
      <c r="Y36" s="944"/>
      <c r="Z36" s="944"/>
      <c r="AA36" s="944"/>
      <c r="AB36" s="345" t="s">
        <v>2537</v>
      </c>
      <c r="AC36" s="945"/>
      <c r="AD36" s="12"/>
      <c r="AE36" s="12"/>
      <c r="AF36" s="12"/>
      <c r="AG36" s="12"/>
      <c r="AH36" s="12"/>
      <c r="AI36" s="12"/>
      <c r="AJ36" s="12"/>
      <c r="AK36" s="12"/>
    </row>
    <row r="37" spans="1:37" ht="19.5">
      <c r="A37" s="12"/>
      <c r="B37" s="1419"/>
      <c r="C37" s="928" t="s">
        <v>835</v>
      </c>
      <c r="D37" s="929" t="s">
        <v>1771</v>
      </c>
      <c r="E37" s="930" t="s">
        <v>1772</v>
      </c>
      <c r="F37" s="733" t="s">
        <v>836</v>
      </c>
      <c r="G37" s="931">
        <v>1.5</v>
      </c>
      <c r="H37" s="12"/>
      <c r="I37" s="12"/>
      <c r="J37" s="12"/>
      <c r="K37" s="943" t="s">
        <v>2540</v>
      </c>
      <c r="L37" s="944"/>
      <c r="M37" s="345" t="s">
        <v>2490</v>
      </c>
      <c r="N37" s="944"/>
      <c r="O37" s="944"/>
      <c r="P37" s="944"/>
      <c r="Q37" s="944"/>
      <c r="R37" s="944">
        <v>1</v>
      </c>
      <c r="S37" s="345" t="s">
        <v>2541</v>
      </c>
      <c r="T37" s="944"/>
      <c r="U37" s="345" t="s">
        <v>2542</v>
      </c>
      <c r="V37" s="345" t="s">
        <v>2543</v>
      </c>
      <c r="W37" s="345" t="s">
        <v>2544</v>
      </c>
      <c r="X37" s="345" t="s">
        <v>2544</v>
      </c>
      <c r="Y37" s="944">
        <v>1</v>
      </c>
      <c r="Z37" s="944"/>
      <c r="AA37" s="944"/>
      <c r="AB37" s="345" t="s">
        <v>2544</v>
      </c>
      <c r="AC37" s="945"/>
      <c r="AD37" s="12"/>
      <c r="AE37" s="12"/>
      <c r="AF37" s="12"/>
      <c r="AG37" s="12"/>
      <c r="AH37" s="12"/>
      <c r="AI37" s="12"/>
      <c r="AJ37" s="12"/>
      <c r="AK37" s="12"/>
    </row>
    <row r="38" spans="1:37" ht="39">
      <c r="A38" s="12"/>
      <c r="B38" s="1419"/>
      <c r="C38" s="928" t="s">
        <v>837</v>
      </c>
      <c r="D38" s="929" t="s">
        <v>1773</v>
      </c>
      <c r="E38" s="930" t="s">
        <v>1774</v>
      </c>
      <c r="F38" s="733" t="s">
        <v>836</v>
      </c>
      <c r="G38" s="931">
        <v>0.71</v>
      </c>
      <c r="H38" s="12"/>
      <c r="I38" s="12"/>
      <c r="J38" s="12"/>
      <c r="K38" s="943" t="s">
        <v>2344</v>
      </c>
      <c r="L38" s="944"/>
      <c r="M38" s="944"/>
      <c r="N38" s="345" t="s">
        <v>2518</v>
      </c>
      <c r="O38" s="345" t="s">
        <v>2346</v>
      </c>
      <c r="P38" s="345" t="s">
        <v>2345</v>
      </c>
      <c r="Q38" s="944"/>
      <c r="R38" s="345" t="s">
        <v>2528</v>
      </c>
      <c r="S38" s="944"/>
      <c r="T38" s="944">
        <v>-1</v>
      </c>
      <c r="U38" s="944"/>
      <c r="V38" s="944"/>
      <c r="W38" s="944"/>
      <c r="X38" s="944"/>
      <c r="Y38" s="345" t="s">
        <v>1775</v>
      </c>
      <c r="Z38" s="944"/>
      <c r="AA38" s="944"/>
      <c r="AB38" s="944"/>
      <c r="AC38" s="945"/>
      <c r="AD38" s="12"/>
      <c r="AE38" s="12"/>
      <c r="AF38" s="12"/>
      <c r="AG38" s="12"/>
      <c r="AH38" s="12"/>
      <c r="AI38" s="12"/>
      <c r="AJ38" s="12"/>
      <c r="AK38" s="12"/>
    </row>
    <row r="39" spans="1:37" ht="20.25" thickBot="1">
      <c r="A39" s="12"/>
      <c r="B39" s="1419"/>
      <c r="C39" s="928" t="s">
        <v>838</v>
      </c>
      <c r="D39" s="929" t="s">
        <v>1776</v>
      </c>
      <c r="E39" s="930" t="s">
        <v>1777</v>
      </c>
      <c r="F39" s="733" t="s">
        <v>1208</v>
      </c>
      <c r="G39" s="931">
        <v>0.35</v>
      </c>
      <c r="H39" s="12"/>
      <c r="I39" s="12"/>
      <c r="J39" s="12"/>
      <c r="K39" s="946" t="s">
        <v>2548</v>
      </c>
      <c r="L39" s="947"/>
      <c r="M39" s="947"/>
      <c r="N39" s="947"/>
      <c r="O39" s="947"/>
      <c r="P39" s="947"/>
      <c r="Q39" s="947"/>
      <c r="R39" s="947"/>
      <c r="S39" s="947"/>
      <c r="T39" s="947"/>
      <c r="U39" s="359" t="s">
        <v>2549</v>
      </c>
      <c r="V39" s="359" t="s">
        <v>2550</v>
      </c>
      <c r="W39" s="359" t="s">
        <v>2478</v>
      </c>
      <c r="X39" s="359" t="s">
        <v>2478</v>
      </c>
      <c r="Y39" s="359" t="s">
        <v>1778</v>
      </c>
      <c r="Z39" s="359" t="s">
        <v>1779</v>
      </c>
      <c r="AA39" s="359" t="s">
        <v>1780</v>
      </c>
      <c r="AB39" s="359" t="s">
        <v>2478</v>
      </c>
      <c r="AC39" s="948">
        <v>-1</v>
      </c>
      <c r="AD39" s="12"/>
      <c r="AE39" s="12"/>
      <c r="AF39" s="12"/>
      <c r="AG39" s="12"/>
      <c r="AH39" s="12"/>
      <c r="AI39" s="12"/>
      <c r="AJ39" s="12"/>
      <c r="AK39" s="12"/>
    </row>
    <row r="40" spans="1:37" ht="19.5">
      <c r="A40" s="12"/>
      <c r="B40" s="1419"/>
      <c r="C40" s="928" t="s">
        <v>839</v>
      </c>
      <c r="D40" s="929" t="s">
        <v>1781</v>
      </c>
      <c r="E40" s="930" t="s">
        <v>1782</v>
      </c>
      <c r="F40" s="733" t="s">
        <v>1208</v>
      </c>
      <c r="G40" s="931">
        <v>0.23</v>
      </c>
      <c r="H40" s="12"/>
      <c r="I40" s="12"/>
      <c r="J40" s="12"/>
      <c r="K40" s="949"/>
      <c r="L40" s="949"/>
      <c r="M40" s="873"/>
      <c r="N40" s="12"/>
      <c r="O40" s="12"/>
      <c r="P40" s="12"/>
      <c r="Q40" s="12"/>
      <c r="R40" s="12"/>
      <c r="S40" s="12"/>
      <c r="T40" s="12"/>
      <c r="U40" s="12"/>
      <c r="V40" s="12"/>
      <c r="W40" s="12"/>
      <c r="X40" s="12"/>
      <c r="Y40" s="12"/>
      <c r="Z40" s="12"/>
      <c r="AA40" s="12"/>
      <c r="AB40" s="12"/>
      <c r="AC40" s="12"/>
      <c r="AD40" s="12"/>
      <c r="AE40" s="12"/>
      <c r="AF40" s="12"/>
      <c r="AG40" s="12"/>
      <c r="AH40" s="12"/>
      <c r="AI40" s="12"/>
      <c r="AJ40" s="12"/>
      <c r="AK40" s="12"/>
    </row>
    <row r="41" spans="1:37" ht="20.25" thickBot="1">
      <c r="A41" s="12"/>
      <c r="B41" s="1419"/>
      <c r="C41" s="928" t="s">
        <v>840</v>
      </c>
      <c r="D41" s="929" t="s">
        <v>1783</v>
      </c>
      <c r="E41" s="930" t="s">
        <v>1784</v>
      </c>
      <c r="F41" s="733" t="s">
        <v>841</v>
      </c>
      <c r="G41" s="931">
        <v>1.18</v>
      </c>
      <c r="H41" s="12"/>
      <c r="I41" s="12"/>
      <c r="J41" s="12"/>
      <c r="K41" s="949"/>
      <c r="L41" s="949"/>
      <c r="M41" s="873"/>
      <c r="N41" s="12"/>
      <c r="O41" s="12"/>
      <c r="P41" s="12"/>
      <c r="Q41" s="12"/>
      <c r="R41" s="12"/>
      <c r="S41" s="12"/>
      <c r="T41" s="12"/>
      <c r="U41" s="12"/>
      <c r="V41" s="12"/>
      <c r="W41" s="12"/>
      <c r="X41" s="12"/>
      <c r="Y41" s="12"/>
      <c r="Z41" s="12"/>
      <c r="AA41" s="12"/>
      <c r="AB41" s="12"/>
      <c r="AC41" s="12"/>
      <c r="AD41" s="12"/>
      <c r="AE41" s="12"/>
      <c r="AF41" s="12"/>
      <c r="AG41" s="12"/>
      <c r="AH41" s="12"/>
      <c r="AI41" s="12"/>
      <c r="AJ41" s="12"/>
      <c r="AK41" s="12"/>
    </row>
    <row r="42" spans="1:37" ht="30.75" thickBot="1">
      <c r="A42" s="12"/>
      <c r="B42" s="1419"/>
      <c r="C42" s="928" t="s">
        <v>842</v>
      </c>
      <c r="D42" s="929" t="s">
        <v>1785</v>
      </c>
      <c r="E42" s="930" t="s">
        <v>1786</v>
      </c>
      <c r="F42" s="733" t="s">
        <v>841</v>
      </c>
      <c r="G42" s="931">
        <v>1.11</v>
      </c>
      <c r="H42" s="12"/>
      <c r="I42" s="12"/>
      <c r="J42" s="1405" t="s">
        <v>2353</v>
      </c>
      <c r="K42" s="1406"/>
      <c r="L42" s="1406"/>
      <c r="M42" s="1406"/>
      <c r="N42" s="1406"/>
      <c r="O42" s="1406"/>
      <c r="P42" s="1406"/>
      <c r="Q42" s="1406"/>
      <c r="R42" s="1406"/>
      <c r="S42" s="1406"/>
      <c r="T42" s="1406"/>
      <c r="U42" s="1406"/>
      <c r="V42" s="1406"/>
      <c r="W42" s="1406"/>
      <c r="X42" s="1406"/>
      <c r="Y42" s="1406"/>
      <c r="Z42" s="1406"/>
      <c r="AA42" s="1406"/>
      <c r="AB42" s="1406"/>
      <c r="AC42" s="1406"/>
      <c r="AD42" s="1406"/>
      <c r="AE42" s="1406"/>
      <c r="AF42" s="1406"/>
      <c r="AG42" s="1406"/>
      <c r="AH42" s="1406"/>
      <c r="AI42" s="1407"/>
      <c r="AJ42" s="875"/>
      <c r="AK42" s="875"/>
    </row>
    <row r="43" spans="1:37" ht="19.5" thickBot="1">
      <c r="A43" s="12"/>
      <c r="B43" s="1419"/>
      <c r="C43" s="950" t="s">
        <v>1787</v>
      </c>
      <c r="D43" s="951" t="s">
        <v>1788</v>
      </c>
      <c r="E43" s="930" t="s">
        <v>1789</v>
      </c>
      <c r="F43" s="733" t="s">
        <v>843</v>
      </c>
      <c r="G43" s="931">
        <v>1.85</v>
      </c>
      <c r="H43" s="12"/>
      <c r="I43" s="12"/>
      <c r="J43" s="12"/>
      <c r="K43" s="949"/>
      <c r="L43" s="949"/>
      <c r="M43" s="873"/>
      <c r="N43" s="12"/>
      <c r="O43" s="12"/>
      <c r="P43" s="12"/>
      <c r="Q43" s="12"/>
      <c r="R43" s="12"/>
      <c r="S43" s="12"/>
      <c r="T43" s="12"/>
      <c r="U43" s="12"/>
      <c r="V43" s="12"/>
      <c r="W43" s="12"/>
      <c r="X43" s="12"/>
      <c r="Y43" s="12"/>
      <c r="Z43" s="12"/>
      <c r="AA43" s="12"/>
      <c r="AB43" s="12"/>
      <c r="AC43" s="12"/>
      <c r="AD43" s="12"/>
      <c r="AE43" s="12"/>
      <c r="AF43" s="12"/>
      <c r="AG43" s="12"/>
      <c r="AH43" s="12"/>
      <c r="AI43" s="12"/>
      <c r="AJ43" s="12"/>
      <c r="AK43" s="12"/>
    </row>
    <row r="44" spans="1:37" ht="39">
      <c r="A44" s="12"/>
      <c r="B44" s="1419"/>
      <c r="C44" s="950" t="s">
        <v>1790</v>
      </c>
      <c r="D44" s="951" t="s">
        <v>1791</v>
      </c>
      <c r="E44" s="930" t="s">
        <v>1792</v>
      </c>
      <c r="F44" s="733" t="s">
        <v>844</v>
      </c>
      <c r="G44" s="931">
        <v>0.334</v>
      </c>
      <c r="H44" s="12"/>
      <c r="I44" s="12"/>
      <c r="J44" s="876"/>
      <c r="K44" s="877"/>
      <c r="L44" s="259" t="s">
        <v>2365</v>
      </c>
      <c r="M44" s="259" t="s">
        <v>2451</v>
      </c>
      <c r="N44" s="259" t="s">
        <v>2556</v>
      </c>
      <c r="O44" s="259" t="s">
        <v>2557</v>
      </c>
      <c r="P44" s="259" t="s">
        <v>1793</v>
      </c>
      <c r="Q44" s="259" t="s">
        <v>2455</v>
      </c>
      <c r="R44" s="259" t="s">
        <v>2454</v>
      </c>
      <c r="S44" s="259" t="s">
        <v>2358</v>
      </c>
      <c r="T44" s="259" t="s">
        <v>2370</v>
      </c>
      <c r="U44" s="259" t="s">
        <v>2211</v>
      </c>
      <c r="V44" s="259" t="s">
        <v>2361</v>
      </c>
      <c r="W44" s="259" t="s">
        <v>2362</v>
      </c>
      <c r="X44" s="259" t="s">
        <v>2457</v>
      </c>
      <c r="Y44" s="259" t="s">
        <v>2559</v>
      </c>
      <c r="Z44" s="259" t="s">
        <v>2560</v>
      </c>
      <c r="AA44" s="259" t="s">
        <v>1794</v>
      </c>
      <c r="AB44" s="259" t="s">
        <v>2363</v>
      </c>
      <c r="AC44" s="878" t="s">
        <v>2461</v>
      </c>
      <c r="AD44" s="1423" t="s">
        <v>2288</v>
      </c>
      <c r="AE44" s="1424"/>
      <c r="AF44" s="1424"/>
      <c r="AG44" s="1424"/>
      <c r="AH44" s="1424"/>
      <c r="AI44" s="1425"/>
      <c r="AJ44" s="12"/>
      <c r="AK44" s="12"/>
    </row>
    <row r="45" spans="1:37" ht="58.5">
      <c r="A45" s="12"/>
      <c r="B45" s="1419"/>
      <c r="C45" s="952" t="s">
        <v>1209</v>
      </c>
      <c r="D45" s="953" t="s">
        <v>2354</v>
      </c>
      <c r="E45" s="954" t="s">
        <v>1795</v>
      </c>
      <c r="F45" s="94" t="s">
        <v>1210</v>
      </c>
      <c r="G45" s="955">
        <v>0.24</v>
      </c>
      <c r="H45" s="12"/>
      <c r="I45" s="12"/>
      <c r="J45" s="883" t="s">
        <v>2467</v>
      </c>
      <c r="K45" s="884" t="s">
        <v>2468</v>
      </c>
      <c r="L45" s="885"/>
      <c r="M45" s="886" t="s">
        <v>1216</v>
      </c>
      <c r="N45" s="885"/>
      <c r="O45" s="268" t="s">
        <v>845</v>
      </c>
      <c r="P45" s="885"/>
      <c r="Q45" s="885"/>
      <c r="R45" s="887" t="s">
        <v>846</v>
      </c>
      <c r="S45" s="268" t="s">
        <v>2561</v>
      </c>
      <c r="T45" s="269" t="s">
        <v>847</v>
      </c>
      <c r="U45" s="885"/>
      <c r="V45" s="885">
        <v>-1</v>
      </c>
      <c r="W45" s="885"/>
      <c r="X45" s="885"/>
      <c r="Y45" s="885"/>
      <c r="Z45" s="885"/>
      <c r="AA45" s="885"/>
      <c r="AB45" s="885"/>
      <c r="AC45" s="956" t="s">
        <v>1220</v>
      </c>
      <c r="AD45" s="1338" t="s">
        <v>848</v>
      </c>
      <c r="AE45" s="1411"/>
      <c r="AF45" s="1411"/>
      <c r="AG45" s="1411"/>
      <c r="AH45" s="1411"/>
      <c r="AI45" s="1412"/>
      <c r="AJ45" s="12"/>
      <c r="AK45" s="12"/>
    </row>
    <row r="46" spans="1:37" ht="58.5">
      <c r="A46" s="12"/>
      <c r="B46" s="1419"/>
      <c r="C46" s="952" t="s">
        <v>849</v>
      </c>
      <c r="D46" s="953" t="s">
        <v>1796</v>
      </c>
      <c r="E46" s="954" t="s">
        <v>1797</v>
      </c>
      <c r="F46" s="94" t="s">
        <v>850</v>
      </c>
      <c r="G46" s="955">
        <v>0.1</v>
      </c>
      <c r="H46" s="12"/>
      <c r="I46" s="12"/>
      <c r="J46" s="883" t="s">
        <v>2473</v>
      </c>
      <c r="K46" s="884" t="s">
        <v>2474</v>
      </c>
      <c r="L46" s="885"/>
      <c r="M46" s="886" t="s">
        <v>1216</v>
      </c>
      <c r="N46" s="885"/>
      <c r="O46" s="268" t="s">
        <v>845</v>
      </c>
      <c r="P46" s="885"/>
      <c r="Q46" s="885"/>
      <c r="R46" s="887" t="s">
        <v>846</v>
      </c>
      <c r="S46" s="268" t="s">
        <v>2561</v>
      </c>
      <c r="T46" s="269" t="s">
        <v>847</v>
      </c>
      <c r="U46" s="885"/>
      <c r="V46" s="885">
        <v>-1</v>
      </c>
      <c r="W46" s="885"/>
      <c r="X46" s="885"/>
      <c r="Y46" s="885"/>
      <c r="Z46" s="885"/>
      <c r="AA46" s="885"/>
      <c r="AB46" s="885"/>
      <c r="AC46" s="956" t="s">
        <v>1220</v>
      </c>
      <c r="AD46" s="1338" t="s">
        <v>851</v>
      </c>
      <c r="AE46" s="1411"/>
      <c r="AF46" s="1411"/>
      <c r="AG46" s="1411"/>
      <c r="AH46" s="1411"/>
      <c r="AI46" s="1412"/>
      <c r="AJ46" s="12"/>
      <c r="AK46" s="12"/>
    </row>
    <row r="47" spans="1:37" ht="58.5">
      <c r="A47" s="12"/>
      <c r="B47" s="1419"/>
      <c r="C47" s="957" t="s">
        <v>1234</v>
      </c>
      <c r="D47" s="958" t="s">
        <v>2566</v>
      </c>
      <c r="E47" s="959" t="s">
        <v>1798</v>
      </c>
      <c r="F47" s="755" t="s">
        <v>1235</v>
      </c>
      <c r="G47" s="960">
        <v>0.03</v>
      </c>
      <c r="H47" s="12"/>
      <c r="I47" s="12"/>
      <c r="J47" s="883" t="s">
        <v>2475</v>
      </c>
      <c r="K47" s="884" t="s">
        <v>2476</v>
      </c>
      <c r="L47" s="885"/>
      <c r="M47" s="886" t="s">
        <v>1216</v>
      </c>
      <c r="N47" s="885"/>
      <c r="O47" s="268" t="s">
        <v>845</v>
      </c>
      <c r="P47" s="885"/>
      <c r="Q47" s="885"/>
      <c r="R47" s="887" t="s">
        <v>846</v>
      </c>
      <c r="S47" s="268" t="s">
        <v>2561</v>
      </c>
      <c r="T47" s="269" t="s">
        <v>847</v>
      </c>
      <c r="U47" s="885"/>
      <c r="V47" s="885">
        <v>-1</v>
      </c>
      <c r="W47" s="885"/>
      <c r="X47" s="885"/>
      <c r="Y47" s="885"/>
      <c r="Z47" s="885"/>
      <c r="AA47" s="885"/>
      <c r="AB47" s="885"/>
      <c r="AC47" s="956" t="s">
        <v>1220</v>
      </c>
      <c r="AD47" s="1338" t="s">
        <v>854</v>
      </c>
      <c r="AE47" s="1411"/>
      <c r="AF47" s="1411"/>
      <c r="AG47" s="1411"/>
      <c r="AH47" s="1411"/>
      <c r="AI47" s="1412"/>
      <c r="AJ47" s="12"/>
      <c r="AK47" s="12"/>
    </row>
    <row r="48" spans="1:37" ht="39">
      <c r="A48" s="12"/>
      <c r="B48" s="1419"/>
      <c r="C48" s="957" t="s">
        <v>1240</v>
      </c>
      <c r="D48" s="958" t="s">
        <v>2568</v>
      </c>
      <c r="E48" s="959" t="s">
        <v>1799</v>
      </c>
      <c r="F48" s="755" t="s">
        <v>1241</v>
      </c>
      <c r="G48" s="960">
        <v>0.01</v>
      </c>
      <c r="H48" s="12"/>
      <c r="I48" s="12"/>
      <c r="J48" s="894" t="s">
        <v>2477</v>
      </c>
      <c r="K48" s="895" t="s">
        <v>855</v>
      </c>
      <c r="L48" s="896" t="s">
        <v>856</v>
      </c>
      <c r="M48" s="896" t="s">
        <v>1229</v>
      </c>
      <c r="N48" s="896"/>
      <c r="O48" s="279" t="s">
        <v>857</v>
      </c>
      <c r="P48" s="897"/>
      <c r="Q48" s="897"/>
      <c r="R48" s="279" t="s">
        <v>858</v>
      </c>
      <c r="S48" s="897"/>
      <c r="T48" s="279" t="s">
        <v>859</v>
      </c>
      <c r="U48" s="897"/>
      <c r="V48" s="897"/>
      <c r="W48" s="897">
        <v>1</v>
      </c>
      <c r="X48" s="897"/>
      <c r="Y48" s="897"/>
      <c r="Z48" s="897"/>
      <c r="AA48" s="897"/>
      <c r="AB48" s="897"/>
      <c r="AC48" s="898" t="s">
        <v>2565</v>
      </c>
      <c r="AD48" s="1338" t="s">
        <v>860</v>
      </c>
      <c r="AE48" s="1411"/>
      <c r="AF48" s="1411"/>
      <c r="AG48" s="1411"/>
      <c r="AH48" s="1411"/>
      <c r="AI48" s="1412"/>
      <c r="AJ48" s="12"/>
      <c r="AK48" s="12"/>
    </row>
    <row r="49" spans="1:37" ht="39">
      <c r="A49" s="12"/>
      <c r="B49" s="1419"/>
      <c r="C49" s="957" t="s">
        <v>1246</v>
      </c>
      <c r="D49" s="958" t="s">
        <v>2570</v>
      </c>
      <c r="E49" s="959" t="s">
        <v>1800</v>
      </c>
      <c r="F49" s="755" t="s">
        <v>1247</v>
      </c>
      <c r="G49" s="960">
        <v>0.03</v>
      </c>
      <c r="H49" s="12"/>
      <c r="I49" s="12"/>
      <c r="J49" s="894" t="s">
        <v>2479</v>
      </c>
      <c r="K49" s="895" t="s">
        <v>861</v>
      </c>
      <c r="L49" s="896" t="s">
        <v>856</v>
      </c>
      <c r="M49" s="896"/>
      <c r="N49" s="896" t="s">
        <v>1229</v>
      </c>
      <c r="O49" s="899" t="s">
        <v>1236</v>
      </c>
      <c r="P49" s="897"/>
      <c r="Q49" s="897"/>
      <c r="R49" s="899" t="s">
        <v>1237</v>
      </c>
      <c r="S49" s="897"/>
      <c r="T49" s="279" t="s">
        <v>862</v>
      </c>
      <c r="U49" s="897"/>
      <c r="V49" s="897"/>
      <c r="W49" s="897">
        <v>1</v>
      </c>
      <c r="X49" s="897"/>
      <c r="Y49" s="897"/>
      <c r="Z49" s="897"/>
      <c r="AA49" s="897"/>
      <c r="AB49" s="897"/>
      <c r="AC49" s="898" t="s">
        <v>2565</v>
      </c>
      <c r="AD49" s="1338" t="s">
        <v>863</v>
      </c>
      <c r="AE49" s="1411"/>
      <c r="AF49" s="1411"/>
      <c r="AG49" s="1411"/>
      <c r="AH49" s="1411"/>
      <c r="AI49" s="1412"/>
      <c r="AJ49" s="12"/>
      <c r="AK49" s="12"/>
    </row>
    <row r="50" spans="1:37" ht="54">
      <c r="A50" s="12"/>
      <c r="B50" s="1419"/>
      <c r="C50" s="957" t="s">
        <v>1251</v>
      </c>
      <c r="D50" s="958" t="s">
        <v>2572</v>
      </c>
      <c r="E50" s="959" t="s">
        <v>1801</v>
      </c>
      <c r="F50" s="755" t="s">
        <v>1252</v>
      </c>
      <c r="G50" s="960">
        <v>0.03</v>
      </c>
      <c r="H50" s="12"/>
      <c r="I50" s="12"/>
      <c r="J50" s="894" t="s">
        <v>2482</v>
      </c>
      <c r="K50" s="895" t="s">
        <v>864</v>
      </c>
      <c r="L50" s="896"/>
      <c r="M50" s="896" t="s">
        <v>1229</v>
      </c>
      <c r="N50" s="896"/>
      <c r="O50" s="279" t="s">
        <v>857</v>
      </c>
      <c r="P50" s="896" t="s">
        <v>865</v>
      </c>
      <c r="Q50" s="896" t="s">
        <v>866</v>
      </c>
      <c r="R50" s="279" t="s">
        <v>858</v>
      </c>
      <c r="S50" s="897"/>
      <c r="T50" s="279" t="s">
        <v>867</v>
      </c>
      <c r="U50" s="897"/>
      <c r="V50" s="897"/>
      <c r="W50" s="897">
        <v>1</v>
      </c>
      <c r="X50" s="897"/>
      <c r="Y50" s="897"/>
      <c r="Z50" s="897"/>
      <c r="AA50" s="897"/>
      <c r="AB50" s="897"/>
      <c r="AC50" s="898" t="s">
        <v>2565</v>
      </c>
      <c r="AD50" s="1338" t="s">
        <v>868</v>
      </c>
      <c r="AE50" s="1411"/>
      <c r="AF50" s="1411"/>
      <c r="AG50" s="1411"/>
      <c r="AH50" s="1411"/>
      <c r="AI50" s="1412"/>
      <c r="AJ50" s="12"/>
      <c r="AK50" s="12"/>
    </row>
    <row r="51" spans="1:37" ht="58.5">
      <c r="A51" s="12"/>
      <c r="B51" s="1419"/>
      <c r="C51" s="957" t="s">
        <v>1255</v>
      </c>
      <c r="D51" s="958" t="s">
        <v>2576</v>
      </c>
      <c r="E51" s="959" t="s">
        <v>1802</v>
      </c>
      <c r="F51" s="755" t="s">
        <v>1046</v>
      </c>
      <c r="G51" s="960">
        <v>0.07</v>
      </c>
      <c r="H51" s="12"/>
      <c r="I51" s="12"/>
      <c r="J51" s="894" t="s">
        <v>2484</v>
      </c>
      <c r="K51" s="895" t="s">
        <v>869</v>
      </c>
      <c r="L51" s="896"/>
      <c r="M51" s="896"/>
      <c r="N51" s="896" t="s">
        <v>1229</v>
      </c>
      <c r="O51" s="899" t="s">
        <v>1236</v>
      </c>
      <c r="P51" s="896" t="s">
        <v>865</v>
      </c>
      <c r="Q51" s="896" t="s">
        <v>866</v>
      </c>
      <c r="R51" s="899" t="s">
        <v>1237</v>
      </c>
      <c r="S51" s="897"/>
      <c r="T51" s="279" t="s">
        <v>870</v>
      </c>
      <c r="U51" s="897"/>
      <c r="V51" s="897"/>
      <c r="W51" s="897">
        <v>1</v>
      </c>
      <c r="X51" s="897"/>
      <c r="Y51" s="897"/>
      <c r="Z51" s="897"/>
      <c r="AA51" s="897"/>
      <c r="AB51" s="897"/>
      <c r="AC51" s="898" t="s">
        <v>2565</v>
      </c>
      <c r="AD51" s="1338" t="s">
        <v>871</v>
      </c>
      <c r="AE51" s="1411"/>
      <c r="AF51" s="1411"/>
      <c r="AG51" s="1411"/>
      <c r="AH51" s="1411"/>
      <c r="AI51" s="1412"/>
      <c r="AJ51" s="12"/>
      <c r="AK51" s="12"/>
    </row>
    <row r="52" spans="1:37" ht="39">
      <c r="A52" s="12"/>
      <c r="B52" s="1419"/>
      <c r="C52" s="961" t="s">
        <v>1262</v>
      </c>
      <c r="D52" s="962" t="s">
        <v>2578</v>
      </c>
      <c r="E52" s="963" t="s">
        <v>1803</v>
      </c>
      <c r="F52" s="763" t="s">
        <v>1263</v>
      </c>
      <c r="G52" s="964">
        <v>0.01</v>
      </c>
      <c r="H52" s="12"/>
      <c r="I52" s="12"/>
      <c r="J52" s="894" t="s">
        <v>2486</v>
      </c>
      <c r="K52" s="895" t="s">
        <v>2487</v>
      </c>
      <c r="L52" s="896"/>
      <c r="M52" s="897">
        <v>-1</v>
      </c>
      <c r="N52" s="897">
        <v>1</v>
      </c>
      <c r="O52" s="280" t="s">
        <v>2574</v>
      </c>
      <c r="P52" s="897"/>
      <c r="Q52" s="897"/>
      <c r="R52" s="280" t="s">
        <v>2575</v>
      </c>
      <c r="S52" s="897"/>
      <c r="T52" s="279" t="s">
        <v>872</v>
      </c>
      <c r="U52" s="897"/>
      <c r="V52" s="897"/>
      <c r="W52" s="897"/>
      <c r="X52" s="897"/>
      <c r="Y52" s="897"/>
      <c r="Z52" s="897"/>
      <c r="AA52" s="897"/>
      <c r="AB52" s="897"/>
      <c r="AC52" s="900"/>
      <c r="AD52" s="1338" t="s">
        <v>1254</v>
      </c>
      <c r="AE52" s="1411"/>
      <c r="AF52" s="1411"/>
      <c r="AG52" s="1411"/>
      <c r="AH52" s="1411"/>
      <c r="AI52" s="1412"/>
      <c r="AJ52" s="12"/>
      <c r="AK52" s="12"/>
    </row>
    <row r="53" spans="1:37" ht="58.5">
      <c r="A53" s="12"/>
      <c r="B53" s="1419"/>
      <c r="C53" s="961" t="s">
        <v>1268</v>
      </c>
      <c r="D53" s="962" t="s">
        <v>2581</v>
      </c>
      <c r="E53" s="963" t="s">
        <v>1804</v>
      </c>
      <c r="F53" s="763" t="s">
        <v>1269</v>
      </c>
      <c r="G53" s="964">
        <v>0</v>
      </c>
      <c r="H53" s="12"/>
      <c r="I53" s="12"/>
      <c r="J53" s="894" t="s">
        <v>2493</v>
      </c>
      <c r="K53" s="895" t="s">
        <v>2494</v>
      </c>
      <c r="L53" s="896"/>
      <c r="M53" s="897"/>
      <c r="N53" s="897"/>
      <c r="O53" s="280" t="s">
        <v>873</v>
      </c>
      <c r="P53" s="897"/>
      <c r="Q53" s="897"/>
      <c r="R53" s="280" t="s">
        <v>874</v>
      </c>
      <c r="S53" s="897"/>
      <c r="T53" s="279" t="s">
        <v>875</v>
      </c>
      <c r="U53" s="280" t="s">
        <v>1805</v>
      </c>
      <c r="V53" s="899" t="s">
        <v>876</v>
      </c>
      <c r="W53" s="897">
        <v>-1</v>
      </c>
      <c r="X53" s="897"/>
      <c r="Y53" s="897"/>
      <c r="Z53" s="897"/>
      <c r="AA53" s="897"/>
      <c r="AB53" s="897"/>
      <c r="AC53" s="898" t="s">
        <v>877</v>
      </c>
      <c r="AD53" s="1338" t="s">
        <v>878</v>
      </c>
      <c r="AE53" s="1411"/>
      <c r="AF53" s="1411"/>
      <c r="AG53" s="1411"/>
      <c r="AH53" s="1411"/>
      <c r="AI53" s="1412"/>
      <c r="AJ53" s="12"/>
      <c r="AK53" s="12"/>
    </row>
    <row r="54" spans="1:37" ht="97.5">
      <c r="A54" s="12"/>
      <c r="B54" s="1419"/>
      <c r="C54" s="961" t="s">
        <v>1273</v>
      </c>
      <c r="D54" s="962" t="s">
        <v>2583</v>
      </c>
      <c r="E54" s="963" t="s">
        <v>1806</v>
      </c>
      <c r="F54" s="763" t="s">
        <v>1274</v>
      </c>
      <c r="G54" s="964">
        <v>0.01</v>
      </c>
      <c r="H54" s="12"/>
      <c r="I54" s="12"/>
      <c r="J54" s="901" t="s">
        <v>2499</v>
      </c>
      <c r="K54" s="902" t="s">
        <v>879</v>
      </c>
      <c r="L54" s="903"/>
      <c r="M54" s="904"/>
      <c r="N54" s="904">
        <v>-1</v>
      </c>
      <c r="O54" s="904"/>
      <c r="P54" s="904"/>
      <c r="Q54" s="904"/>
      <c r="R54" s="291" t="s">
        <v>1807</v>
      </c>
      <c r="S54" s="904"/>
      <c r="T54" s="295" t="s">
        <v>880</v>
      </c>
      <c r="U54" s="904"/>
      <c r="V54" s="904"/>
      <c r="W54" s="904"/>
      <c r="X54" s="904"/>
      <c r="Y54" s="905" t="s">
        <v>881</v>
      </c>
      <c r="Z54" s="291" t="s">
        <v>1808</v>
      </c>
      <c r="AA54" s="905" t="s">
        <v>882</v>
      </c>
      <c r="AB54" s="904"/>
      <c r="AC54" s="906" t="s">
        <v>883</v>
      </c>
      <c r="AD54" s="1338" t="s">
        <v>884</v>
      </c>
      <c r="AE54" s="1411"/>
      <c r="AF54" s="1411"/>
      <c r="AG54" s="1411"/>
      <c r="AH54" s="1411"/>
      <c r="AI54" s="1412"/>
      <c r="AJ54" s="12"/>
      <c r="AK54" s="12"/>
    </row>
    <row r="55" spans="1:37" ht="19.5">
      <c r="A55" s="12"/>
      <c r="B55" s="1419"/>
      <c r="C55" s="961" t="s">
        <v>1279</v>
      </c>
      <c r="D55" s="962" t="s">
        <v>2585</v>
      </c>
      <c r="E55" s="963" t="s">
        <v>1809</v>
      </c>
      <c r="F55" s="763" t="s">
        <v>1280</v>
      </c>
      <c r="G55" s="964">
        <v>0.01</v>
      </c>
      <c r="H55" s="12"/>
      <c r="I55" s="12"/>
      <c r="J55" s="901" t="s">
        <v>2502</v>
      </c>
      <c r="K55" s="902" t="s">
        <v>2229</v>
      </c>
      <c r="L55" s="903"/>
      <c r="M55" s="904"/>
      <c r="N55" s="904"/>
      <c r="O55" s="904"/>
      <c r="P55" s="904"/>
      <c r="Q55" s="904"/>
      <c r="R55" s="904">
        <v>1</v>
      </c>
      <c r="S55" s="904"/>
      <c r="T55" s="295" t="s">
        <v>1177</v>
      </c>
      <c r="U55" s="904"/>
      <c r="V55" s="904"/>
      <c r="W55" s="904"/>
      <c r="X55" s="904"/>
      <c r="Y55" s="904">
        <v>-1</v>
      </c>
      <c r="Z55" s="904"/>
      <c r="AA55" s="904"/>
      <c r="AB55" s="904"/>
      <c r="AC55" s="907" t="s">
        <v>1298</v>
      </c>
      <c r="AD55" s="1338" t="s">
        <v>885</v>
      </c>
      <c r="AE55" s="1411"/>
      <c r="AF55" s="1411"/>
      <c r="AG55" s="1411"/>
      <c r="AH55" s="1411"/>
      <c r="AI55" s="1412"/>
      <c r="AJ55" s="12"/>
      <c r="AK55" s="12"/>
    </row>
    <row r="56" spans="1:37" ht="58.5">
      <c r="A56" s="12"/>
      <c r="B56" s="1419"/>
      <c r="C56" s="961" t="s">
        <v>1284</v>
      </c>
      <c r="D56" s="962" t="s">
        <v>2587</v>
      </c>
      <c r="E56" s="963" t="s">
        <v>1810</v>
      </c>
      <c r="F56" s="763" t="s">
        <v>1285</v>
      </c>
      <c r="G56" s="964">
        <v>0.02</v>
      </c>
      <c r="H56" s="12"/>
      <c r="I56" s="12"/>
      <c r="J56" s="901" t="s">
        <v>2082</v>
      </c>
      <c r="K56" s="902" t="s">
        <v>886</v>
      </c>
      <c r="L56" s="903"/>
      <c r="M56" s="904"/>
      <c r="N56" s="904">
        <v>-1</v>
      </c>
      <c r="O56" s="904"/>
      <c r="P56" s="903" t="s">
        <v>887</v>
      </c>
      <c r="Q56" s="903" t="s">
        <v>888</v>
      </c>
      <c r="R56" s="291" t="s">
        <v>1811</v>
      </c>
      <c r="S56" s="904"/>
      <c r="T56" s="295" t="s">
        <v>889</v>
      </c>
      <c r="U56" s="904"/>
      <c r="V56" s="904"/>
      <c r="W56" s="904"/>
      <c r="X56" s="904"/>
      <c r="Y56" s="905" t="s">
        <v>890</v>
      </c>
      <c r="Z56" s="291" t="s">
        <v>1812</v>
      </c>
      <c r="AA56" s="904"/>
      <c r="AB56" s="904"/>
      <c r="AC56" s="906" t="s">
        <v>891</v>
      </c>
      <c r="AD56" s="1338" t="s">
        <v>892</v>
      </c>
      <c r="AE56" s="1411"/>
      <c r="AF56" s="1411"/>
      <c r="AG56" s="1411"/>
      <c r="AH56" s="1411"/>
      <c r="AI56" s="1412"/>
      <c r="AJ56" s="12"/>
      <c r="AK56" s="12"/>
    </row>
    <row r="57" spans="1:37" ht="58.5">
      <c r="A57" s="12"/>
      <c r="B57" s="1419"/>
      <c r="C57" s="965" t="s">
        <v>1295</v>
      </c>
      <c r="D57" s="966" t="s">
        <v>2590</v>
      </c>
      <c r="E57" s="967" t="s">
        <v>1813</v>
      </c>
      <c r="F57" s="766" t="s">
        <v>1296</v>
      </c>
      <c r="G57" s="968">
        <v>0.75</v>
      </c>
      <c r="H57" s="12"/>
      <c r="I57" s="12"/>
      <c r="J57" s="901" t="s">
        <v>2234</v>
      </c>
      <c r="K57" s="902" t="s">
        <v>893</v>
      </c>
      <c r="L57" s="903"/>
      <c r="M57" s="904"/>
      <c r="N57" s="904"/>
      <c r="O57" s="908" t="s">
        <v>894</v>
      </c>
      <c r="P57" s="903" t="s">
        <v>895</v>
      </c>
      <c r="Q57" s="903" t="s">
        <v>896</v>
      </c>
      <c r="R57" s="908" t="s">
        <v>897</v>
      </c>
      <c r="S57" s="904"/>
      <c r="T57" s="295" t="s">
        <v>898</v>
      </c>
      <c r="U57" s="904"/>
      <c r="V57" s="904"/>
      <c r="W57" s="904"/>
      <c r="X57" s="903" t="s">
        <v>899</v>
      </c>
      <c r="Y57" s="904"/>
      <c r="Z57" s="904">
        <v>-1</v>
      </c>
      <c r="AA57" s="904"/>
      <c r="AB57" s="904"/>
      <c r="AC57" s="906" t="s">
        <v>900</v>
      </c>
      <c r="AD57" s="1338" t="s">
        <v>901</v>
      </c>
      <c r="AE57" s="1411"/>
      <c r="AF57" s="1411"/>
      <c r="AG57" s="1411"/>
      <c r="AH57" s="1411"/>
      <c r="AI57" s="1412"/>
      <c r="AJ57" s="12"/>
      <c r="AK57" s="12"/>
    </row>
    <row r="58" spans="1:37" ht="58.5">
      <c r="A58" s="12"/>
      <c r="B58" s="1419"/>
      <c r="C58" s="965" t="s">
        <v>1300</v>
      </c>
      <c r="D58" s="966" t="s">
        <v>2592</v>
      </c>
      <c r="E58" s="967" t="s">
        <v>1814</v>
      </c>
      <c r="F58" s="766" t="s">
        <v>1301</v>
      </c>
      <c r="G58" s="968">
        <v>0.75</v>
      </c>
      <c r="H58" s="12"/>
      <c r="I58" s="12"/>
      <c r="J58" s="901" t="s">
        <v>2237</v>
      </c>
      <c r="K58" s="902" t="s">
        <v>902</v>
      </c>
      <c r="L58" s="903"/>
      <c r="M58" s="904"/>
      <c r="N58" s="904"/>
      <c r="O58" s="295" t="s">
        <v>903</v>
      </c>
      <c r="P58" s="903" t="s">
        <v>904</v>
      </c>
      <c r="Q58" s="903" t="s">
        <v>905</v>
      </c>
      <c r="R58" s="295" t="s">
        <v>906</v>
      </c>
      <c r="S58" s="904"/>
      <c r="T58" s="295" t="s">
        <v>907</v>
      </c>
      <c r="U58" s="904"/>
      <c r="V58" s="904"/>
      <c r="W58" s="904"/>
      <c r="X58" s="903" t="s">
        <v>908</v>
      </c>
      <c r="Y58" s="904">
        <v>1</v>
      </c>
      <c r="Z58" s="904"/>
      <c r="AA58" s="904"/>
      <c r="AB58" s="904"/>
      <c r="AC58" s="907" t="s">
        <v>909</v>
      </c>
      <c r="AD58" s="1338" t="s">
        <v>910</v>
      </c>
      <c r="AE58" s="1411"/>
      <c r="AF58" s="1411"/>
      <c r="AG58" s="1411"/>
      <c r="AH58" s="1411"/>
      <c r="AI58" s="1412"/>
      <c r="AJ58" s="12"/>
      <c r="AK58" s="12"/>
    </row>
    <row r="59" spans="1:37" ht="58.5">
      <c r="A59" s="12"/>
      <c r="B59" s="1419"/>
      <c r="C59" s="965" t="s">
        <v>1304</v>
      </c>
      <c r="D59" s="969" t="s">
        <v>1815</v>
      </c>
      <c r="E59" s="967" t="s">
        <v>1816</v>
      </c>
      <c r="F59" s="766" t="s">
        <v>1305</v>
      </c>
      <c r="G59" s="970">
        <v>0.6</v>
      </c>
      <c r="H59" s="12"/>
      <c r="I59" s="12"/>
      <c r="J59" s="901" t="s">
        <v>2241</v>
      </c>
      <c r="K59" s="902" t="s">
        <v>2242</v>
      </c>
      <c r="L59" s="903"/>
      <c r="M59" s="904"/>
      <c r="N59" s="904"/>
      <c r="O59" s="295" t="s">
        <v>911</v>
      </c>
      <c r="P59" s="903" t="s">
        <v>912</v>
      </c>
      <c r="Q59" s="903" t="s">
        <v>913</v>
      </c>
      <c r="R59" s="295" t="s">
        <v>914</v>
      </c>
      <c r="S59" s="904"/>
      <c r="T59" s="295" t="s">
        <v>915</v>
      </c>
      <c r="U59" s="904"/>
      <c r="V59" s="904"/>
      <c r="W59" s="904"/>
      <c r="X59" s="903" t="s">
        <v>916</v>
      </c>
      <c r="Y59" s="904"/>
      <c r="Z59" s="904"/>
      <c r="AA59" s="904">
        <v>1</v>
      </c>
      <c r="AB59" s="904"/>
      <c r="AC59" s="907" t="s">
        <v>917</v>
      </c>
      <c r="AD59" s="1338" t="s">
        <v>918</v>
      </c>
      <c r="AE59" s="1411"/>
      <c r="AF59" s="1411"/>
      <c r="AG59" s="1411"/>
      <c r="AH59" s="1411"/>
      <c r="AI59" s="1412"/>
      <c r="AJ59" s="12"/>
      <c r="AK59" s="12"/>
    </row>
    <row r="60" spans="1:37" ht="58.5">
      <c r="A60" s="12"/>
      <c r="B60" s="1419"/>
      <c r="C60" s="965" t="s">
        <v>2596</v>
      </c>
      <c r="D60" s="966" t="s">
        <v>2597</v>
      </c>
      <c r="E60" s="967" t="s">
        <v>1817</v>
      </c>
      <c r="F60" s="766" t="s">
        <v>1311</v>
      </c>
      <c r="G60" s="968">
        <v>0.9</v>
      </c>
      <c r="H60" s="12"/>
      <c r="I60" s="12"/>
      <c r="J60" s="901" t="s">
        <v>2244</v>
      </c>
      <c r="K60" s="902" t="s">
        <v>2245</v>
      </c>
      <c r="L60" s="903"/>
      <c r="M60" s="904"/>
      <c r="N60" s="904"/>
      <c r="O60" s="295" t="s">
        <v>2396</v>
      </c>
      <c r="P60" s="903" t="s">
        <v>790</v>
      </c>
      <c r="Q60" s="903" t="s">
        <v>791</v>
      </c>
      <c r="R60" s="295" t="s">
        <v>2613</v>
      </c>
      <c r="S60" s="904"/>
      <c r="T60" s="295" t="s">
        <v>919</v>
      </c>
      <c r="U60" s="904"/>
      <c r="V60" s="904"/>
      <c r="W60" s="904"/>
      <c r="X60" s="904">
        <v>-1</v>
      </c>
      <c r="Y60" s="904"/>
      <c r="Z60" s="904"/>
      <c r="AA60" s="904"/>
      <c r="AB60" s="904"/>
      <c r="AC60" s="907" t="s">
        <v>920</v>
      </c>
      <c r="AD60" s="1338" t="s">
        <v>921</v>
      </c>
      <c r="AE60" s="1411"/>
      <c r="AF60" s="1411"/>
      <c r="AG60" s="1411"/>
      <c r="AH60" s="1411"/>
      <c r="AI60" s="1412"/>
      <c r="AJ60" s="12"/>
      <c r="AK60" s="12"/>
    </row>
    <row r="61" spans="1:37" ht="54">
      <c r="A61" s="12"/>
      <c r="B61" s="1419"/>
      <c r="C61" s="965" t="s">
        <v>1314</v>
      </c>
      <c r="D61" s="966" t="s">
        <v>1818</v>
      </c>
      <c r="E61" s="967" t="s">
        <v>1819</v>
      </c>
      <c r="F61" s="766" t="s">
        <v>1315</v>
      </c>
      <c r="G61" s="968">
        <v>3.23</v>
      </c>
      <c r="H61" s="12"/>
      <c r="I61" s="12"/>
      <c r="J61" s="901" t="s">
        <v>2247</v>
      </c>
      <c r="K61" s="902" t="s">
        <v>922</v>
      </c>
      <c r="L61" s="903" t="s">
        <v>923</v>
      </c>
      <c r="M61" s="904"/>
      <c r="N61" s="904"/>
      <c r="O61" s="908" t="s">
        <v>924</v>
      </c>
      <c r="P61" s="904"/>
      <c r="Q61" s="904"/>
      <c r="R61" s="908" t="s">
        <v>925</v>
      </c>
      <c r="S61" s="904"/>
      <c r="T61" s="295" t="s">
        <v>926</v>
      </c>
      <c r="U61" s="904"/>
      <c r="V61" s="904"/>
      <c r="W61" s="904"/>
      <c r="X61" s="903" t="s">
        <v>927</v>
      </c>
      <c r="Y61" s="904"/>
      <c r="Z61" s="904">
        <v>-1</v>
      </c>
      <c r="AA61" s="904"/>
      <c r="AB61" s="904"/>
      <c r="AC61" s="906" t="s">
        <v>928</v>
      </c>
      <c r="AD61" s="1338" t="s">
        <v>929</v>
      </c>
      <c r="AE61" s="1411"/>
      <c r="AF61" s="1411"/>
      <c r="AG61" s="1411"/>
      <c r="AH61" s="1411"/>
      <c r="AI61" s="1412"/>
      <c r="AJ61" s="12"/>
      <c r="AK61" s="12"/>
    </row>
    <row r="62" spans="1:37" ht="54">
      <c r="A62" s="12"/>
      <c r="B62" s="1419"/>
      <c r="C62" s="971" t="s">
        <v>930</v>
      </c>
      <c r="D62" s="969" t="s">
        <v>1820</v>
      </c>
      <c r="E62" s="967" t="s">
        <v>1821</v>
      </c>
      <c r="F62" s="972" t="s">
        <v>931</v>
      </c>
      <c r="G62" s="970">
        <v>0.84</v>
      </c>
      <c r="H62" s="12"/>
      <c r="I62" s="12"/>
      <c r="J62" s="901" t="s">
        <v>2250</v>
      </c>
      <c r="K62" s="902" t="s">
        <v>932</v>
      </c>
      <c r="L62" s="903" t="s">
        <v>933</v>
      </c>
      <c r="M62" s="904"/>
      <c r="N62" s="904"/>
      <c r="O62" s="295" t="s">
        <v>934</v>
      </c>
      <c r="P62" s="904"/>
      <c r="Q62" s="904"/>
      <c r="R62" s="295" t="s">
        <v>935</v>
      </c>
      <c r="S62" s="904"/>
      <c r="T62" s="295" t="s">
        <v>936</v>
      </c>
      <c r="U62" s="904"/>
      <c r="V62" s="904"/>
      <c r="W62" s="904"/>
      <c r="X62" s="903" t="s">
        <v>933</v>
      </c>
      <c r="Y62" s="904">
        <v>1</v>
      </c>
      <c r="Z62" s="904"/>
      <c r="AA62" s="904"/>
      <c r="AB62" s="904"/>
      <c r="AC62" s="907" t="s">
        <v>937</v>
      </c>
      <c r="AD62" s="1338" t="s">
        <v>938</v>
      </c>
      <c r="AE62" s="1411"/>
      <c r="AF62" s="1411"/>
      <c r="AG62" s="1411"/>
      <c r="AH62" s="1411"/>
      <c r="AI62" s="1412"/>
      <c r="AJ62" s="12"/>
      <c r="AK62" s="12"/>
    </row>
    <row r="63" spans="1:37" ht="54">
      <c r="A63" s="12"/>
      <c r="B63" s="1419"/>
      <c r="C63" s="973" t="s">
        <v>1488</v>
      </c>
      <c r="D63" s="102" t="s">
        <v>1822</v>
      </c>
      <c r="E63" s="768" t="s">
        <v>2374</v>
      </c>
      <c r="F63" s="974" t="s">
        <v>2375</v>
      </c>
      <c r="G63" s="975">
        <f>40/14</f>
        <v>2.857142857142857</v>
      </c>
      <c r="H63" s="12"/>
      <c r="I63" s="12"/>
      <c r="J63" s="901" t="s">
        <v>2252</v>
      </c>
      <c r="K63" s="902" t="s">
        <v>2253</v>
      </c>
      <c r="L63" s="903" t="s">
        <v>939</v>
      </c>
      <c r="M63" s="904"/>
      <c r="N63" s="904"/>
      <c r="O63" s="295" t="s">
        <v>940</v>
      </c>
      <c r="P63" s="904"/>
      <c r="Q63" s="904"/>
      <c r="R63" s="295" t="s">
        <v>941</v>
      </c>
      <c r="S63" s="904"/>
      <c r="T63" s="295" t="s">
        <v>942</v>
      </c>
      <c r="U63" s="904"/>
      <c r="V63" s="904"/>
      <c r="W63" s="904"/>
      <c r="X63" s="903" t="s">
        <v>943</v>
      </c>
      <c r="Y63" s="904"/>
      <c r="Z63" s="904"/>
      <c r="AA63" s="904">
        <v>1</v>
      </c>
      <c r="AB63" s="904"/>
      <c r="AC63" s="907" t="s">
        <v>944</v>
      </c>
      <c r="AD63" s="1338" t="s">
        <v>945</v>
      </c>
      <c r="AE63" s="1411"/>
      <c r="AF63" s="1411"/>
      <c r="AG63" s="1411"/>
      <c r="AH63" s="1411"/>
      <c r="AI63" s="1412"/>
      <c r="AJ63" s="12"/>
      <c r="AK63" s="12"/>
    </row>
    <row r="64" spans="1:37" ht="39">
      <c r="A64" s="12"/>
      <c r="B64" s="1419"/>
      <c r="C64" s="973" t="s">
        <v>1492</v>
      </c>
      <c r="D64" s="102" t="s">
        <v>1823</v>
      </c>
      <c r="E64" s="768" t="s">
        <v>2376</v>
      </c>
      <c r="F64" s="104" t="s">
        <v>2375</v>
      </c>
      <c r="G64" s="975">
        <f>-64/14</f>
        <v>-4.571428571428571</v>
      </c>
      <c r="H64" s="12"/>
      <c r="I64" s="12"/>
      <c r="J64" s="901" t="s">
        <v>2254</v>
      </c>
      <c r="K64" s="902" t="s">
        <v>2255</v>
      </c>
      <c r="L64" s="921">
        <v>-1</v>
      </c>
      <c r="M64" s="904"/>
      <c r="N64" s="904"/>
      <c r="O64" s="291" t="s">
        <v>2396</v>
      </c>
      <c r="P64" s="904"/>
      <c r="Q64" s="904"/>
      <c r="R64" s="291" t="s">
        <v>2613</v>
      </c>
      <c r="S64" s="904"/>
      <c r="T64" s="295" t="s">
        <v>946</v>
      </c>
      <c r="U64" s="904"/>
      <c r="V64" s="904"/>
      <c r="W64" s="904"/>
      <c r="X64" s="904">
        <v>-1</v>
      </c>
      <c r="Y64" s="904"/>
      <c r="Z64" s="904"/>
      <c r="AA64" s="904"/>
      <c r="AB64" s="904"/>
      <c r="AC64" s="907" t="s">
        <v>920</v>
      </c>
      <c r="AD64" s="1338" t="s">
        <v>947</v>
      </c>
      <c r="AE64" s="1411"/>
      <c r="AF64" s="1411"/>
      <c r="AG64" s="1411"/>
      <c r="AH64" s="1411"/>
      <c r="AI64" s="1412"/>
      <c r="AJ64" s="12"/>
      <c r="AK64" s="12"/>
    </row>
    <row r="65" spans="1:37" ht="58.5">
      <c r="A65" s="12"/>
      <c r="B65" s="1419"/>
      <c r="C65" s="973" t="s">
        <v>1498</v>
      </c>
      <c r="D65" s="102" t="s">
        <v>2377</v>
      </c>
      <c r="E65" s="768" t="s">
        <v>2377</v>
      </c>
      <c r="F65" s="104" t="s">
        <v>2375</v>
      </c>
      <c r="G65" s="975">
        <f>-24/14</f>
        <v>-1.7142857142857142</v>
      </c>
      <c r="H65" s="12"/>
      <c r="I65" s="12"/>
      <c r="J65" s="922" t="s">
        <v>2258</v>
      </c>
      <c r="K65" s="923" t="s">
        <v>948</v>
      </c>
      <c r="L65" s="924" t="s">
        <v>949</v>
      </c>
      <c r="M65" s="925"/>
      <c r="N65" s="925"/>
      <c r="O65" s="924" t="s">
        <v>950</v>
      </c>
      <c r="P65" s="924" t="s">
        <v>1308</v>
      </c>
      <c r="Q65" s="925"/>
      <c r="R65" s="926" t="s">
        <v>1237</v>
      </c>
      <c r="S65" s="925"/>
      <c r="T65" s="309" t="s">
        <v>951</v>
      </c>
      <c r="U65" s="925"/>
      <c r="V65" s="925"/>
      <c r="W65" s="925"/>
      <c r="X65" s="925"/>
      <c r="Y65" s="925"/>
      <c r="Z65" s="925"/>
      <c r="AA65" s="925"/>
      <c r="AB65" s="925">
        <v>1</v>
      </c>
      <c r="AC65" s="927" t="s">
        <v>952</v>
      </c>
      <c r="AD65" s="1338" t="s">
        <v>953</v>
      </c>
      <c r="AE65" s="1411"/>
      <c r="AF65" s="1411"/>
      <c r="AG65" s="1411"/>
      <c r="AH65" s="1411"/>
      <c r="AI65" s="1412"/>
      <c r="AJ65" s="12"/>
      <c r="AK65" s="12"/>
    </row>
    <row r="66" spans="1:37" ht="59.25" thickBot="1">
      <c r="A66" s="12"/>
      <c r="B66" s="1419"/>
      <c r="C66" s="973" t="s">
        <v>954</v>
      </c>
      <c r="D66" s="102" t="s">
        <v>2554</v>
      </c>
      <c r="E66" s="768" t="s">
        <v>2554</v>
      </c>
      <c r="F66" s="104" t="s">
        <v>2555</v>
      </c>
      <c r="G66" s="975">
        <f>-1/64</f>
        <v>-0.015625</v>
      </c>
      <c r="H66" s="12"/>
      <c r="I66" s="12"/>
      <c r="J66" s="932" t="s">
        <v>1763</v>
      </c>
      <c r="K66" s="933" t="s">
        <v>2494</v>
      </c>
      <c r="L66" s="934"/>
      <c r="M66" s="934"/>
      <c r="N66" s="934"/>
      <c r="O66" s="935" t="s">
        <v>955</v>
      </c>
      <c r="P66" s="934"/>
      <c r="Q66" s="934"/>
      <c r="R66" s="935" t="s">
        <v>956</v>
      </c>
      <c r="S66" s="934"/>
      <c r="T66" s="936" t="s">
        <v>957</v>
      </c>
      <c r="U66" s="935" t="s">
        <v>1824</v>
      </c>
      <c r="V66" s="937" t="s">
        <v>958</v>
      </c>
      <c r="W66" s="934"/>
      <c r="X66" s="934"/>
      <c r="Y66" s="934"/>
      <c r="Z66" s="934"/>
      <c r="AA66" s="934"/>
      <c r="AB66" s="934">
        <v>-1</v>
      </c>
      <c r="AC66" s="938" t="s">
        <v>959</v>
      </c>
      <c r="AD66" s="1341" t="s">
        <v>1069</v>
      </c>
      <c r="AE66" s="1413"/>
      <c r="AF66" s="1413"/>
      <c r="AG66" s="1413"/>
      <c r="AH66" s="1413"/>
      <c r="AI66" s="1414"/>
      <c r="AJ66" s="12"/>
      <c r="AK66" s="12"/>
    </row>
    <row r="67" spans="1:37" ht="20.25" thickBot="1">
      <c r="A67" s="12"/>
      <c r="B67" s="1419"/>
      <c r="C67" s="973" t="s">
        <v>1505</v>
      </c>
      <c r="D67" s="102" t="s">
        <v>2317</v>
      </c>
      <c r="E67" s="768" t="s">
        <v>2317</v>
      </c>
      <c r="F67" s="104" t="s">
        <v>2378</v>
      </c>
      <c r="G67" s="975">
        <f>1/14</f>
        <v>0.07142857142857142</v>
      </c>
      <c r="H67" s="12"/>
      <c r="I67" s="12"/>
      <c r="J67" s="12"/>
      <c r="K67" s="1415" t="s">
        <v>2328</v>
      </c>
      <c r="L67" s="1416"/>
      <c r="M67" s="1416"/>
      <c r="N67" s="1416"/>
      <c r="O67" s="1416"/>
      <c r="P67" s="1416"/>
      <c r="Q67" s="1416"/>
      <c r="R67" s="1416"/>
      <c r="S67" s="1416"/>
      <c r="T67" s="1416"/>
      <c r="U67" s="1416"/>
      <c r="V67" s="1416"/>
      <c r="W67" s="1416"/>
      <c r="X67" s="1416"/>
      <c r="Y67" s="1416"/>
      <c r="Z67" s="1416"/>
      <c r="AA67" s="1416"/>
      <c r="AB67" s="1416"/>
      <c r="AC67" s="1417"/>
      <c r="AD67" s="12"/>
      <c r="AE67" s="12"/>
      <c r="AF67" s="12"/>
      <c r="AG67" s="12"/>
      <c r="AH67" s="12"/>
      <c r="AI67" s="12"/>
      <c r="AJ67" s="12"/>
      <c r="AK67" s="12"/>
    </row>
    <row r="68" spans="1:37" ht="19.5">
      <c r="A68" s="12"/>
      <c r="B68" s="1419"/>
      <c r="C68" s="973" t="s">
        <v>1509</v>
      </c>
      <c r="D68" s="102" t="s">
        <v>1825</v>
      </c>
      <c r="E68" s="768" t="s">
        <v>2379</v>
      </c>
      <c r="F68" s="104" t="s">
        <v>2378</v>
      </c>
      <c r="G68" s="975">
        <f>-1/14</f>
        <v>-0.07142857142857142</v>
      </c>
      <c r="H68" s="12"/>
      <c r="I68" s="12"/>
      <c r="J68" s="12"/>
      <c r="K68" s="939" t="s">
        <v>2332</v>
      </c>
      <c r="L68" s="940">
        <v>-1</v>
      </c>
      <c r="M68" s="940">
        <v>1</v>
      </c>
      <c r="N68" s="940">
        <v>1</v>
      </c>
      <c r="O68" s="940"/>
      <c r="P68" s="941" t="s">
        <v>2333</v>
      </c>
      <c r="Q68" s="941" t="s">
        <v>2531</v>
      </c>
      <c r="R68" s="940"/>
      <c r="S68" s="940">
        <v>1</v>
      </c>
      <c r="T68" s="940"/>
      <c r="U68" s="940">
        <v>1</v>
      </c>
      <c r="V68" s="940">
        <v>1</v>
      </c>
      <c r="W68" s="940">
        <v>1</v>
      </c>
      <c r="X68" s="940">
        <v>1</v>
      </c>
      <c r="Y68" s="940"/>
      <c r="Z68" s="940">
        <v>1</v>
      </c>
      <c r="AA68" s="940">
        <v>1</v>
      </c>
      <c r="AB68" s="940">
        <v>1</v>
      </c>
      <c r="AC68" s="942"/>
      <c r="AD68" s="12"/>
      <c r="AE68" s="12"/>
      <c r="AF68" s="12"/>
      <c r="AG68" s="12"/>
      <c r="AH68" s="12"/>
      <c r="AI68" s="12"/>
      <c r="AJ68" s="12"/>
      <c r="AK68" s="12"/>
    </row>
    <row r="69" spans="1:37" ht="19.5">
      <c r="A69" s="12"/>
      <c r="B69" s="1419"/>
      <c r="C69" s="973" t="s">
        <v>685</v>
      </c>
      <c r="D69" s="102" t="s">
        <v>2562</v>
      </c>
      <c r="E69" s="768" t="s">
        <v>2562</v>
      </c>
      <c r="F69" s="104" t="s">
        <v>2563</v>
      </c>
      <c r="G69" s="975">
        <f>-1.5/31</f>
        <v>-0.04838709677419355</v>
      </c>
      <c r="H69" s="12"/>
      <c r="I69" s="12"/>
      <c r="J69" s="12"/>
      <c r="K69" s="943" t="s">
        <v>2338</v>
      </c>
      <c r="L69" s="944"/>
      <c r="M69" s="345" t="s">
        <v>2574</v>
      </c>
      <c r="N69" s="944"/>
      <c r="O69" s="944">
        <v>1</v>
      </c>
      <c r="P69" s="944">
        <v>1</v>
      </c>
      <c r="Q69" s="944">
        <v>1</v>
      </c>
      <c r="R69" s="944"/>
      <c r="S69" s="345" t="s">
        <v>2605</v>
      </c>
      <c r="T69" s="944"/>
      <c r="U69" s="345" t="s">
        <v>2606</v>
      </c>
      <c r="V69" s="345" t="s">
        <v>2607</v>
      </c>
      <c r="W69" s="345" t="s">
        <v>2396</v>
      </c>
      <c r="X69" s="345" t="s">
        <v>2396</v>
      </c>
      <c r="Y69" s="944"/>
      <c r="Z69" s="944"/>
      <c r="AA69" s="944"/>
      <c r="AB69" s="345" t="s">
        <v>2396</v>
      </c>
      <c r="AC69" s="945"/>
      <c r="AD69" s="12"/>
      <c r="AE69" s="12"/>
      <c r="AF69" s="12"/>
      <c r="AG69" s="12"/>
      <c r="AH69" s="12"/>
      <c r="AI69" s="12"/>
      <c r="AJ69" s="12"/>
      <c r="AK69" s="12"/>
    </row>
    <row r="70" spans="1:37" ht="20.25" thickBot="1">
      <c r="A70" s="12"/>
      <c r="B70" s="1420"/>
      <c r="C70" s="976" t="s">
        <v>679</v>
      </c>
      <c r="D70" s="108" t="s">
        <v>2564</v>
      </c>
      <c r="E70" s="771" t="s">
        <v>2564</v>
      </c>
      <c r="F70" s="110" t="s">
        <v>2563</v>
      </c>
      <c r="G70" s="977">
        <f>-1/31</f>
        <v>-0.03225806451612903</v>
      </c>
      <c r="H70" s="12"/>
      <c r="I70" s="12"/>
      <c r="J70" s="12"/>
      <c r="K70" s="943" t="s">
        <v>2540</v>
      </c>
      <c r="L70" s="944"/>
      <c r="M70" s="345" t="s">
        <v>2575</v>
      </c>
      <c r="N70" s="944"/>
      <c r="O70" s="944"/>
      <c r="P70" s="944"/>
      <c r="Q70" s="944"/>
      <c r="R70" s="944">
        <v>1</v>
      </c>
      <c r="S70" s="345" t="s">
        <v>2610</v>
      </c>
      <c r="T70" s="944"/>
      <c r="U70" s="345" t="s">
        <v>2611</v>
      </c>
      <c r="V70" s="345" t="s">
        <v>2612</v>
      </c>
      <c r="W70" s="345" t="s">
        <v>2613</v>
      </c>
      <c r="X70" s="345" t="s">
        <v>2613</v>
      </c>
      <c r="Y70" s="944">
        <v>1</v>
      </c>
      <c r="Z70" s="944"/>
      <c r="AA70" s="944"/>
      <c r="AB70" s="345" t="s">
        <v>2613</v>
      </c>
      <c r="AC70" s="945"/>
      <c r="AD70" s="12"/>
      <c r="AE70" s="12"/>
      <c r="AF70" s="12"/>
      <c r="AG70" s="12"/>
      <c r="AH70" s="12"/>
      <c r="AI70" s="12"/>
      <c r="AJ70" s="12"/>
      <c r="AK70" s="12"/>
    </row>
    <row r="71" spans="1:37" ht="39">
      <c r="A71" s="12"/>
      <c r="B71" s="1418" t="s">
        <v>1826</v>
      </c>
      <c r="C71" s="978" t="s">
        <v>2381</v>
      </c>
      <c r="D71" s="915" t="s">
        <v>2382</v>
      </c>
      <c r="E71" s="979" t="s">
        <v>1827</v>
      </c>
      <c r="F71" s="980" t="s">
        <v>1072</v>
      </c>
      <c r="G71" s="917">
        <v>3</v>
      </c>
      <c r="H71" s="12"/>
      <c r="I71" s="12"/>
      <c r="J71" s="12"/>
      <c r="K71" s="943" t="s">
        <v>2344</v>
      </c>
      <c r="L71" s="944"/>
      <c r="M71" s="944"/>
      <c r="N71" s="345" t="s">
        <v>2518</v>
      </c>
      <c r="O71" s="345" t="s">
        <v>2346</v>
      </c>
      <c r="P71" s="345" t="s">
        <v>2345</v>
      </c>
      <c r="Q71" s="944"/>
      <c r="R71" s="345" t="s">
        <v>2528</v>
      </c>
      <c r="S71" s="944"/>
      <c r="T71" s="944">
        <v>-1</v>
      </c>
      <c r="U71" s="944"/>
      <c r="V71" s="944"/>
      <c r="W71" s="944"/>
      <c r="X71" s="944"/>
      <c r="Y71" s="345" t="s">
        <v>1775</v>
      </c>
      <c r="Z71" s="944"/>
      <c r="AA71" s="944"/>
      <c r="AB71" s="944"/>
      <c r="AC71" s="945"/>
      <c r="AD71" s="12"/>
      <c r="AE71" s="12"/>
      <c r="AF71" s="12"/>
      <c r="AG71" s="12"/>
      <c r="AH71" s="12"/>
      <c r="AI71" s="12"/>
      <c r="AJ71" s="12"/>
      <c r="AK71" s="12"/>
    </row>
    <row r="72" spans="1:37" ht="39.75" thickBot="1">
      <c r="A72" s="12"/>
      <c r="B72" s="1419"/>
      <c r="C72" s="596" t="s">
        <v>1318</v>
      </c>
      <c r="D72" s="981" t="s">
        <v>2384</v>
      </c>
      <c r="E72" s="982" t="s">
        <v>1828</v>
      </c>
      <c r="F72" s="776" t="s">
        <v>1075</v>
      </c>
      <c r="G72" s="983">
        <v>0.1</v>
      </c>
      <c r="H72" s="12"/>
      <c r="I72" s="12"/>
      <c r="J72" s="12"/>
      <c r="K72" s="946" t="s">
        <v>2548</v>
      </c>
      <c r="L72" s="947"/>
      <c r="M72" s="947"/>
      <c r="N72" s="947"/>
      <c r="O72" s="947"/>
      <c r="P72" s="947"/>
      <c r="Q72" s="947"/>
      <c r="R72" s="947"/>
      <c r="S72" s="947"/>
      <c r="T72" s="947"/>
      <c r="U72" s="359" t="s">
        <v>2615</v>
      </c>
      <c r="V72" s="359" t="s">
        <v>2616</v>
      </c>
      <c r="W72" s="359" t="s">
        <v>2565</v>
      </c>
      <c r="X72" s="359" t="s">
        <v>2565</v>
      </c>
      <c r="Y72" s="359" t="s">
        <v>2617</v>
      </c>
      <c r="Z72" s="359" t="s">
        <v>2618</v>
      </c>
      <c r="AA72" s="359" t="s">
        <v>1829</v>
      </c>
      <c r="AB72" s="359" t="s">
        <v>2565</v>
      </c>
      <c r="AC72" s="948">
        <v>-1</v>
      </c>
      <c r="AD72" s="12"/>
      <c r="AE72" s="12"/>
      <c r="AF72" s="12"/>
      <c r="AG72" s="12"/>
      <c r="AH72" s="12"/>
      <c r="AI72" s="12"/>
      <c r="AJ72" s="12"/>
      <c r="AK72" s="12"/>
    </row>
    <row r="73" spans="1:37" ht="19.5">
      <c r="A73" s="12"/>
      <c r="B73" s="1419"/>
      <c r="C73" s="984" t="s">
        <v>2386</v>
      </c>
      <c r="D73" s="985" t="s">
        <v>960</v>
      </c>
      <c r="E73" s="982" t="s">
        <v>1830</v>
      </c>
      <c r="F73" s="986" t="s">
        <v>2389</v>
      </c>
      <c r="G73" s="983">
        <v>0.8</v>
      </c>
      <c r="H73" s="12"/>
      <c r="I73" s="12"/>
      <c r="J73" s="12"/>
      <c r="K73" s="949"/>
      <c r="L73" s="949"/>
      <c r="M73" s="873"/>
      <c r="N73" s="12"/>
      <c r="O73" s="12"/>
      <c r="P73" s="12"/>
      <c r="Q73" s="12"/>
      <c r="R73" s="12"/>
      <c r="S73" s="12"/>
      <c r="T73" s="12"/>
      <c r="U73" s="12"/>
      <c r="V73" s="12"/>
      <c r="W73" s="12"/>
      <c r="X73" s="12"/>
      <c r="Y73" s="12"/>
      <c r="Z73" s="12"/>
      <c r="AA73" s="12"/>
      <c r="AB73" s="12"/>
      <c r="AC73" s="12"/>
      <c r="AD73" s="12"/>
      <c r="AE73" s="12"/>
      <c r="AF73" s="12"/>
      <c r="AG73" s="12"/>
      <c r="AH73" s="12"/>
      <c r="AI73" s="12"/>
      <c r="AJ73" s="12"/>
      <c r="AK73" s="12"/>
    </row>
    <row r="74" spans="1:37" ht="20.25" thickBot="1">
      <c r="A74" s="12"/>
      <c r="B74" s="1419"/>
      <c r="C74" s="984" t="s">
        <v>2602</v>
      </c>
      <c r="D74" s="981" t="s">
        <v>2603</v>
      </c>
      <c r="E74" s="982" t="s">
        <v>1831</v>
      </c>
      <c r="F74" s="986" t="s">
        <v>2389</v>
      </c>
      <c r="G74" s="983">
        <v>0.2</v>
      </c>
      <c r="H74" s="12"/>
      <c r="I74" s="12"/>
      <c r="J74" s="12"/>
      <c r="K74" s="949"/>
      <c r="L74" s="949"/>
      <c r="M74" s="873"/>
      <c r="N74" s="12"/>
      <c r="O74" s="12"/>
      <c r="P74" s="12"/>
      <c r="Q74" s="12"/>
      <c r="R74" s="12"/>
      <c r="S74" s="12"/>
      <c r="T74" s="12"/>
      <c r="U74" s="12"/>
      <c r="V74" s="12"/>
      <c r="W74" s="12"/>
      <c r="X74" s="12"/>
      <c r="Y74" s="12"/>
      <c r="Z74" s="12"/>
      <c r="AA74" s="12"/>
      <c r="AB74" s="12"/>
      <c r="AC74" s="12"/>
      <c r="AD74" s="12"/>
      <c r="AE74" s="12"/>
      <c r="AF74" s="12"/>
      <c r="AG74" s="12"/>
      <c r="AH74" s="12"/>
      <c r="AI74" s="12"/>
      <c r="AJ74" s="12"/>
      <c r="AK74" s="12"/>
    </row>
    <row r="75" spans="1:37" ht="30.75" thickBot="1">
      <c r="A75" s="12"/>
      <c r="B75" s="1419"/>
      <c r="C75" s="984" t="s">
        <v>1320</v>
      </c>
      <c r="D75" s="985" t="s">
        <v>961</v>
      </c>
      <c r="E75" s="982" t="s">
        <v>1832</v>
      </c>
      <c r="F75" s="986" t="s">
        <v>1082</v>
      </c>
      <c r="G75" s="983">
        <v>0.2</v>
      </c>
      <c r="H75" s="12"/>
      <c r="I75" s="12"/>
      <c r="J75" s="1405" t="s">
        <v>2406</v>
      </c>
      <c r="K75" s="1406"/>
      <c r="L75" s="1406"/>
      <c r="M75" s="1406"/>
      <c r="N75" s="1406"/>
      <c r="O75" s="1406"/>
      <c r="P75" s="1406"/>
      <c r="Q75" s="1406"/>
      <c r="R75" s="1406"/>
      <c r="S75" s="1406"/>
      <c r="T75" s="1406"/>
      <c r="U75" s="1406"/>
      <c r="V75" s="1406"/>
      <c r="W75" s="1406"/>
      <c r="X75" s="1406"/>
      <c r="Y75" s="1406"/>
      <c r="Z75" s="1406"/>
      <c r="AA75" s="1406"/>
      <c r="AB75" s="1406"/>
      <c r="AC75" s="1406"/>
      <c r="AD75" s="1406"/>
      <c r="AE75" s="1406"/>
      <c r="AF75" s="1406"/>
      <c r="AG75" s="1406"/>
      <c r="AH75" s="1406"/>
      <c r="AI75" s="1406"/>
      <c r="AJ75" s="1406"/>
      <c r="AK75" s="1407"/>
    </row>
    <row r="76" spans="1:37" ht="19.5">
      <c r="A76" s="12"/>
      <c r="B76" s="1419"/>
      <c r="C76" s="984" t="s">
        <v>1322</v>
      </c>
      <c r="D76" s="985" t="s">
        <v>962</v>
      </c>
      <c r="E76" s="982" t="s">
        <v>1833</v>
      </c>
      <c r="F76" s="986" t="s">
        <v>1324</v>
      </c>
      <c r="G76" s="983">
        <v>0.5</v>
      </c>
      <c r="H76" s="12"/>
      <c r="I76" s="12"/>
      <c r="J76" s="12"/>
      <c r="K76" s="949"/>
      <c r="L76" s="949"/>
      <c r="M76" s="873"/>
      <c r="N76" s="12"/>
      <c r="O76" s="12"/>
      <c r="P76" s="12"/>
      <c r="Q76" s="12"/>
      <c r="R76" s="12"/>
      <c r="S76" s="12"/>
      <c r="T76" s="12"/>
      <c r="U76" s="12"/>
      <c r="V76" s="12"/>
      <c r="W76" s="12"/>
      <c r="X76" s="12"/>
      <c r="Y76" s="12"/>
      <c r="Z76" s="12"/>
      <c r="AA76" s="12"/>
      <c r="AB76" s="12"/>
      <c r="AC76" s="12"/>
      <c r="AD76" s="12"/>
      <c r="AE76" s="12"/>
      <c r="AF76" s="12"/>
      <c r="AG76" s="12"/>
      <c r="AH76" s="12"/>
      <c r="AI76" s="12"/>
      <c r="AJ76" s="12"/>
      <c r="AK76" s="12"/>
    </row>
    <row r="77" spans="1:37" ht="20.25" thickBot="1">
      <c r="A77" s="12"/>
      <c r="B77" s="1419"/>
      <c r="C77" s="403" t="s">
        <v>1325</v>
      </c>
      <c r="D77" s="919" t="s">
        <v>2391</v>
      </c>
      <c r="E77" s="987" t="s">
        <v>1834</v>
      </c>
      <c r="F77" s="724" t="s">
        <v>1077</v>
      </c>
      <c r="G77" s="724">
        <v>6</v>
      </c>
      <c r="H77" s="12"/>
      <c r="I77" s="12"/>
      <c r="J77" s="12"/>
      <c r="K77" s="949"/>
      <c r="L77" s="949"/>
      <c r="M77" s="873"/>
      <c r="N77" s="12"/>
      <c r="O77" s="12"/>
      <c r="P77" s="12"/>
      <c r="Q77" s="12"/>
      <c r="R77" s="12"/>
      <c r="S77" s="12"/>
      <c r="T77" s="12"/>
      <c r="U77" s="12"/>
      <c r="V77" s="12"/>
      <c r="W77" s="12"/>
      <c r="X77" s="12"/>
      <c r="Y77" s="12"/>
      <c r="Z77" s="12"/>
      <c r="AA77" s="12"/>
      <c r="AB77" s="12"/>
      <c r="AC77" s="12"/>
      <c r="AD77" s="1421" t="s">
        <v>2328</v>
      </c>
      <c r="AE77" s="1422"/>
      <c r="AF77" s="1422"/>
      <c r="AG77" s="1422"/>
      <c r="AH77" s="1422"/>
      <c r="AI77" s="1422"/>
      <c r="AJ77" s="12"/>
      <c r="AK77" s="12"/>
    </row>
    <row r="78" spans="1:37" ht="20.25" thickBot="1">
      <c r="A78" s="12"/>
      <c r="B78" s="1419"/>
      <c r="C78" s="403" t="s">
        <v>1326</v>
      </c>
      <c r="D78" s="988" t="s">
        <v>963</v>
      </c>
      <c r="E78" s="987" t="s">
        <v>1835</v>
      </c>
      <c r="F78" s="724" t="s">
        <v>2389</v>
      </c>
      <c r="G78" s="724">
        <v>0.8</v>
      </c>
      <c r="H78" s="12"/>
      <c r="I78" s="12"/>
      <c r="J78" s="989"/>
      <c r="K78" s="949"/>
      <c r="L78" s="949"/>
      <c r="M78" s="873"/>
      <c r="N78" s="989"/>
      <c r="O78" s="989"/>
      <c r="P78" s="989"/>
      <c r="Q78" s="989"/>
      <c r="R78" s="989"/>
      <c r="S78" s="989"/>
      <c r="T78" s="989"/>
      <c r="U78" s="989"/>
      <c r="V78" s="989"/>
      <c r="W78" s="989"/>
      <c r="X78" s="989"/>
      <c r="Y78" s="989"/>
      <c r="Z78" s="989"/>
      <c r="AA78" s="989"/>
      <c r="AB78" s="989"/>
      <c r="AC78" s="989"/>
      <c r="AD78" s="873"/>
      <c r="AE78" s="990" t="s">
        <v>2332</v>
      </c>
      <c r="AF78" s="991" t="s">
        <v>2338</v>
      </c>
      <c r="AG78" s="992" t="s">
        <v>2540</v>
      </c>
      <c r="AH78" s="991" t="s">
        <v>2344</v>
      </c>
      <c r="AI78" s="993" t="s">
        <v>2548</v>
      </c>
      <c r="AJ78" s="12"/>
      <c r="AK78" s="12"/>
    </row>
    <row r="79" spans="1:37" ht="19.5">
      <c r="A79" s="12"/>
      <c r="B79" s="1419"/>
      <c r="C79" s="406" t="s">
        <v>2619</v>
      </c>
      <c r="D79" s="919" t="s">
        <v>2620</v>
      </c>
      <c r="E79" s="994" t="s">
        <v>1836</v>
      </c>
      <c r="F79" s="777" t="s">
        <v>1328</v>
      </c>
      <c r="G79" s="777">
        <v>3</v>
      </c>
      <c r="H79" s="12"/>
      <c r="I79" s="12"/>
      <c r="J79" s="989"/>
      <c r="K79" s="949"/>
      <c r="L79" s="949"/>
      <c r="M79" s="873"/>
      <c r="N79" s="989"/>
      <c r="O79" s="989"/>
      <c r="P79" s="989"/>
      <c r="Q79" s="989"/>
      <c r="R79" s="989"/>
      <c r="S79" s="989"/>
      <c r="T79" s="989"/>
      <c r="U79" s="989"/>
      <c r="V79" s="989"/>
      <c r="W79" s="989"/>
      <c r="X79" s="989"/>
      <c r="Y79" s="989"/>
      <c r="Z79" s="989"/>
      <c r="AA79" s="989"/>
      <c r="AB79" s="989"/>
      <c r="AC79" s="989"/>
      <c r="AD79" s="995" t="s">
        <v>2365</v>
      </c>
      <c r="AE79" s="996" t="s">
        <v>2488</v>
      </c>
      <c r="AF79" s="997"/>
      <c r="AG79" s="996"/>
      <c r="AH79" s="997"/>
      <c r="AI79" s="996"/>
      <c r="AJ79" s="12"/>
      <c r="AK79" s="12"/>
    </row>
    <row r="80" spans="1:37" ht="19.5">
      <c r="A80" s="998"/>
      <c r="B80" s="1419"/>
      <c r="C80" s="403" t="s">
        <v>1329</v>
      </c>
      <c r="D80" s="919" t="s">
        <v>2622</v>
      </c>
      <c r="E80" s="987" t="s">
        <v>1837</v>
      </c>
      <c r="F80" s="724" t="s">
        <v>1330</v>
      </c>
      <c r="G80" s="724">
        <v>4</v>
      </c>
      <c r="H80" s="998"/>
      <c r="I80" s="12"/>
      <c r="J80" s="989"/>
      <c r="K80" s="873"/>
      <c r="L80" s="873"/>
      <c r="M80" s="873"/>
      <c r="N80" s="989"/>
      <c r="O80" s="989"/>
      <c r="P80" s="989"/>
      <c r="Q80" s="989"/>
      <c r="R80" s="989"/>
      <c r="S80" s="989"/>
      <c r="T80" s="989"/>
      <c r="U80" s="989"/>
      <c r="V80" s="989"/>
      <c r="W80" s="989"/>
      <c r="X80" s="989"/>
      <c r="Y80" s="989"/>
      <c r="Z80" s="989"/>
      <c r="AA80" s="989"/>
      <c r="AB80" s="989"/>
      <c r="AC80" s="989"/>
      <c r="AD80" s="999" t="s">
        <v>2451</v>
      </c>
      <c r="AE80" s="1000" t="s">
        <v>2467</v>
      </c>
      <c r="AF80" s="1001">
        <f>TUD_i_N.SF</f>
        <v>0.03</v>
      </c>
      <c r="AG80" s="1000">
        <f>TUD_i_P.SF</f>
        <v>0.01</v>
      </c>
      <c r="AH80" s="1001"/>
      <c r="AI80" s="1000"/>
      <c r="AJ80" s="12"/>
      <c r="AK80" s="12"/>
    </row>
    <row r="81" spans="1:37" ht="19.5">
      <c r="A81" s="12"/>
      <c r="B81" s="1419"/>
      <c r="C81" s="403" t="s">
        <v>1331</v>
      </c>
      <c r="D81" s="919" t="s">
        <v>1838</v>
      </c>
      <c r="E81" s="987" t="s">
        <v>1839</v>
      </c>
      <c r="F81" s="724" t="s">
        <v>1333</v>
      </c>
      <c r="G81" s="724">
        <v>4</v>
      </c>
      <c r="H81" s="12"/>
      <c r="I81" s="12"/>
      <c r="J81" s="989"/>
      <c r="K81" s="989"/>
      <c r="L81" s="989"/>
      <c r="M81" s="989"/>
      <c r="N81" s="989"/>
      <c r="O81" s="989"/>
      <c r="P81" s="989"/>
      <c r="Q81" s="989"/>
      <c r="R81" s="989"/>
      <c r="S81" s="989"/>
      <c r="T81" s="989"/>
      <c r="U81" s="989"/>
      <c r="V81" s="989"/>
      <c r="W81" s="989"/>
      <c r="X81" s="989"/>
      <c r="Y81" s="989"/>
      <c r="Z81" s="989"/>
      <c r="AA81" s="989"/>
      <c r="AB81" s="989"/>
      <c r="AC81" s="989"/>
      <c r="AD81" s="999" t="s">
        <v>2452</v>
      </c>
      <c r="AE81" s="1000" t="s">
        <v>2467</v>
      </c>
      <c r="AF81" s="1001"/>
      <c r="AG81" s="1000"/>
      <c r="AH81" s="1001">
        <f>TUD_i_Charge_Ac</f>
        <v>-0.015625</v>
      </c>
      <c r="AI81" s="1000"/>
      <c r="AJ81" s="12"/>
      <c r="AK81" s="12"/>
    </row>
    <row r="82" spans="1:37" ht="19.5">
      <c r="A82" s="12"/>
      <c r="B82" s="1419"/>
      <c r="C82" s="406" t="s">
        <v>710</v>
      </c>
      <c r="D82" s="919" t="s">
        <v>2400</v>
      </c>
      <c r="E82" s="994" t="s">
        <v>1840</v>
      </c>
      <c r="F82" s="777" t="s">
        <v>1077</v>
      </c>
      <c r="G82" s="777">
        <v>0.4</v>
      </c>
      <c r="H82" s="12"/>
      <c r="I82" s="12"/>
      <c r="J82" s="989"/>
      <c r="K82" s="989"/>
      <c r="L82" s="989"/>
      <c r="M82" s="989"/>
      <c r="N82" s="989"/>
      <c r="O82" s="989"/>
      <c r="P82" s="989"/>
      <c r="Q82" s="989"/>
      <c r="R82" s="989"/>
      <c r="S82" s="989"/>
      <c r="T82" s="989"/>
      <c r="U82" s="989"/>
      <c r="V82" s="989"/>
      <c r="W82" s="989"/>
      <c r="X82" s="989"/>
      <c r="Y82" s="989"/>
      <c r="Z82" s="989"/>
      <c r="AA82" s="989"/>
      <c r="AB82" s="989"/>
      <c r="AC82" s="989"/>
      <c r="AD82" s="999" t="s">
        <v>2283</v>
      </c>
      <c r="AE82" s="1000"/>
      <c r="AF82" s="1001">
        <v>1</v>
      </c>
      <c r="AG82" s="1000"/>
      <c r="AH82" s="1001">
        <f>TUD_i_Charge_NHx</f>
        <v>0.07142857142857142</v>
      </c>
      <c r="AI82" s="1000"/>
      <c r="AJ82" s="12"/>
      <c r="AK82" s="12"/>
    </row>
    <row r="83" spans="1:37" ht="19.5">
      <c r="A83" s="12"/>
      <c r="B83" s="1419"/>
      <c r="C83" s="403" t="s">
        <v>1334</v>
      </c>
      <c r="D83" s="919" t="s">
        <v>2625</v>
      </c>
      <c r="E83" s="987" t="s">
        <v>1841</v>
      </c>
      <c r="F83" s="724" t="s">
        <v>1330</v>
      </c>
      <c r="G83" s="724">
        <v>20</v>
      </c>
      <c r="H83" s="12"/>
      <c r="I83" s="12"/>
      <c r="J83" s="989"/>
      <c r="K83" s="989"/>
      <c r="L83" s="989"/>
      <c r="M83" s="989"/>
      <c r="N83" s="989"/>
      <c r="O83" s="989"/>
      <c r="P83" s="989"/>
      <c r="Q83" s="989"/>
      <c r="R83" s="989"/>
      <c r="S83" s="989"/>
      <c r="T83" s="989"/>
      <c r="U83" s="989"/>
      <c r="V83" s="989"/>
      <c r="W83" s="989"/>
      <c r="X83" s="989"/>
      <c r="Y83" s="989"/>
      <c r="Z83" s="989"/>
      <c r="AA83" s="989"/>
      <c r="AB83" s="989"/>
      <c r="AC83" s="989"/>
      <c r="AD83" s="999" t="s">
        <v>2282</v>
      </c>
      <c r="AE83" s="1000">
        <f>TUD_i_COD_NOx</f>
        <v>-4.571428571428571</v>
      </c>
      <c r="AF83" s="1001">
        <v>1</v>
      </c>
      <c r="AG83" s="1000"/>
      <c r="AH83" s="1001">
        <f>TUD_i_Charge_NOx</f>
        <v>-0.07142857142857142</v>
      </c>
      <c r="AI83" s="1000"/>
      <c r="AJ83" s="12"/>
      <c r="AK83" s="12"/>
    </row>
    <row r="84" spans="1:37" ht="19.5">
      <c r="A84" s="12"/>
      <c r="B84" s="1419"/>
      <c r="C84" s="415" t="s">
        <v>1081</v>
      </c>
      <c r="D84" s="988" t="s">
        <v>964</v>
      </c>
      <c r="E84" s="987" t="s">
        <v>1842</v>
      </c>
      <c r="F84" s="724" t="s">
        <v>1082</v>
      </c>
      <c r="G84" s="724">
        <v>0.2</v>
      </c>
      <c r="H84" s="12"/>
      <c r="I84" s="12"/>
      <c r="J84" s="989"/>
      <c r="K84" s="989"/>
      <c r="L84" s="989"/>
      <c r="M84" s="989"/>
      <c r="N84" s="989"/>
      <c r="O84" s="989"/>
      <c r="P84" s="989"/>
      <c r="Q84" s="989"/>
      <c r="R84" s="989"/>
      <c r="S84" s="989"/>
      <c r="T84" s="989"/>
      <c r="U84" s="989"/>
      <c r="V84" s="989"/>
      <c r="W84" s="989"/>
      <c r="X84" s="989"/>
      <c r="Y84" s="989"/>
      <c r="Z84" s="989"/>
      <c r="AA84" s="989"/>
      <c r="AB84" s="989"/>
      <c r="AC84" s="989"/>
      <c r="AD84" s="999" t="s">
        <v>2455</v>
      </c>
      <c r="AE84" s="1000">
        <f>TUD_i_COD_N2</f>
        <v>-1.7142857142857142</v>
      </c>
      <c r="AF84" s="1001">
        <v>1</v>
      </c>
      <c r="AG84" s="1000"/>
      <c r="AH84" s="1001"/>
      <c r="AI84" s="1000"/>
      <c r="AJ84" s="12"/>
      <c r="AK84" s="12"/>
    </row>
    <row r="85" spans="1:37" ht="19.5">
      <c r="A85" s="12"/>
      <c r="B85" s="1419"/>
      <c r="C85" s="415" t="s">
        <v>1083</v>
      </c>
      <c r="D85" s="988" t="s">
        <v>965</v>
      </c>
      <c r="E85" s="1002" t="s">
        <v>1843</v>
      </c>
      <c r="F85" s="724" t="s">
        <v>1084</v>
      </c>
      <c r="G85" s="1003">
        <v>0.5</v>
      </c>
      <c r="H85" s="12"/>
      <c r="I85" s="12"/>
      <c r="J85" s="989"/>
      <c r="K85" s="989"/>
      <c r="L85" s="989"/>
      <c r="M85" s="989"/>
      <c r="N85" s="989"/>
      <c r="O85" s="989"/>
      <c r="P85" s="989"/>
      <c r="Q85" s="989"/>
      <c r="R85" s="989"/>
      <c r="S85" s="989"/>
      <c r="T85" s="989"/>
      <c r="U85" s="989"/>
      <c r="V85" s="989"/>
      <c r="W85" s="989"/>
      <c r="X85" s="989"/>
      <c r="Y85" s="989"/>
      <c r="Z85" s="989"/>
      <c r="AA85" s="989"/>
      <c r="AB85" s="989"/>
      <c r="AC85" s="989"/>
      <c r="AD85" s="999" t="s">
        <v>2209</v>
      </c>
      <c r="AE85" s="1000"/>
      <c r="AF85" s="1001"/>
      <c r="AG85" s="1000">
        <v>1</v>
      </c>
      <c r="AH85" s="1001">
        <f>TUD_i_Charge_PO4</f>
        <v>-0.04838709677419355</v>
      </c>
      <c r="AI85" s="1000"/>
      <c r="AJ85" s="12"/>
      <c r="AK85" s="12"/>
    </row>
    <row r="86" spans="1:37" ht="19.5">
      <c r="A86" s="12"/>
      <c r="B86" s="1419"/>
      <c r="C86" s="415" t="s">
        <v>1091</v>
      </c>
      <c r="D86" s="988" t="s">
        <v>966</v>
      </c>
      <c r="E86" s="987" t="s">
        <v>1844</v>
      </c>
      <c r="F86" s="724" t="s">
        <v>1092</v>
      </c>
      <c r="G86" s="724">
        <v>0.05</v>
      </c>
      <c r="H86" s="12"/>
      <c r="I86" s="12"/>
      <c r="J86" s="989"/>
      <c r="K86" s="989"/>
      <c r="L86" s="989"/>
      <c r="M86" s="989"/>
      <c r="N86" s="989"/>
      <c r="O86" s="989"/>
      <c r="P86" s="989"/>
      <c r="Q86" s="989"/>
      <c r="R86" s="989"/>
      <c r="S86" s="989"/>
      <c r="T86" s="989"/>
      <c r="U86" s="989"/>
      <c r="V86" s="989"/>
      <c r="W86" s="989"/>
      <c r="X86" s="989"/>
      <c r="Y86" s="989"/>
      <c r="Z86" s="989"/>
      <c r="AA86" s="989"/>
      <c r="AB86" s="989"/>
      <c r="AC86" s="989"/>
      <c r="AD86" s="999" t="s">
        <v>2274</v>
      </c>
      <c r="AE86" s="1000">
        <v>1</v>
      </c>
      <c r="AF86" s="1001">
        <f>TUD_i_N.SI</f>
        <v>0.01</v>
      </c>
      <c r="AG86" s="1000">
        <f>TUD_i_P.SI</f>
        <v>0</v>
      </c>
      <c r="AH86" s="1001"/>
      <c r="AI86" s="1000"/>
      <c r="AJ86" s="12"/>
      <c r="AK86" s="12"/>
    </row>
    <row r="87" spans="1:37" ht="19.5">
      <c r="A87" s="12"/>
      <c r="B87" s="1419"/>
      <c r="C87" s="415" t="s">
        <v>1338</v>
      </c>
      <c r="D87" s="988" t="s">
        <v>1339</v>
      </c>
      <c r="E87" s="987" t="s">
        <v>1845</v>
      </c>
      <c r="F87" s="724" t="s">
        <v>1340</v>
      </c>
      <c r="G87" s="724">
        <v>0.01</v>
      </c>
      <c r="H87" s="12"/>
      <c r="I87" s="12"/>
      <c r="J87" s="989"/>
      <c r="K87" s="989"/>
      <c r="L87" s="989"/>
      <c r="M87" s="989"/>
      <c r="N87" s="989"/>
      <c r="O87" s="989"/>
      <c r="P87" s="989"/>
      <c r="Q87" s="989"/>
      <c r="R87" s="989"/>
      <c r="S87" s="989"/>
      <c r="T87" s="989"/>
      <c r="U87" s="989"/>
      <c r="V87" s="989"/>
      <c r="W87" s="989"/>
      <c r="X87" s="989"/>
      <c r="Y87" s="989"/>
      <c r="Z87" s="989"/>
      <c r="AA87" s="989"/>
      <c r="AB87" s="989"/>
      <c r="AC87" s="989"/>
      <c r="AD87" s="999" t="s">
        <v>2210</v>
      </c>
      <c r="AE87" s="1000"/>
      <c r="AF87" s="1001"/>
      <c r="AG87" s="1000"/>
      <c r="AH87" s="1001">
        <v>-1</v>
      </c>
      <c r="AI87" s="1000"/>
      <c r="AJ87" s="12"/>
      <c r="AK87" s="12"/>
    </row>
    <row r="88" spans="1:37" ht="19.5">
      <c r="A88" s="12"/>
      <c r="B88" s="1419"/>
      <c r="C88" s="415" t="s">
        <v>1341</v>
      </c>
      <c r="D88" s="988" t="s">
        <v>967</v>
      </c>
      <c r="E88" s="987" t="s">
        <v>1846</v>
      </c>
      <c r="F88" s="724" t="s">
        <v>1343</v>
      </c>
      <c r="G88" s="724">
        <v>0.1</v>
      </c>
      <c r="H88" s="12"/>
      <c r="I88" s="12"/>
      <c r="J88" s="989"/>
      <c r="K88" s="989"/>
      <c r="L88" s="989"/>
      <c r="M88" s="989"/>
      <c r="N88" s="989"/>
      <c r="O88" s="989"/>
      <c r="P88" s="989"/>
      <c r="Q88" s="989"/>
      <c r="R88" s="989"/>
      <c r="S88" s="989"/>
      <c r="T88" s="989"/>
      <c r="U88" s="989"/>
      <c r="V88" s="989"/>
      <c r="W88" s="989"/>
      <c r="X88" s="989"/>
      <c r="Y88" s="989"/>
      <c r="Z88" s="989"/>
      <c r="AA88" s="989"/>
      <c r="AB88" s="989"/>
      <c r="AC88" s="989"/>
      <c r="AD88" s="999" t="s">
        <v>2211</v>
      </c>
      <c r="AE88" s="1000">
        <v>1</v>
      </c>
      <c r="AF88" s="1001">
        <f>TUD_i_N.XI</f>
        <v>0.03</v>
      </c>
      <c r="AG88" s="1000">
        <f>TUD_i_P.XI</f>
        <v>0.01</v>
      </c>
      <c r="AH88" s="1001"/>
      <c r="AI88" s="1000">
        <f>TUD_i_TSS.XI</f>
        <v>0.75</v>
      </c>
      <c r="AJ88" s="12"/>
      <c r="AK88" s="12"/>
    </row>
    <row r="89" spans="1:37" ht="19.5">
      <c r="A89" s="12"/>
      <c r="B89" s="1419"/>
      <c r="C89" s="423" t="s">
        <v>968</v>
      </c>
      <c r="D89" s="425" t="s">
        <v>1847</v>
      </c>
      <c r="E89" s="1004" t="s">
        <v>1848</v>
      </c>
      <c r="F89" s="781" t="s">
        <v>1345</v>
      </c>
      <c r="G89" s="781">
        <v>8</v>
      </c>
      <c r="H89" s="12"/>
      <c r="I89" s="12"/>
      <c r="J89" s="989"/>
      <c r="K89" s="989"/>
      <c r="L89" s="989"/>
      <c r="M89" s="989"/>
      <c r="N89" s="989"/>
      <c r="O89" s="989"/>
      <c r="P89" s="989"/>
      <c r="Q89" s="989"/>
      <c r="R89" s="989"/>
      <c r="S89" s="989"/>
      <c r="T89" s="989"/>
      <c r="U89" s="989"/>
      <c r="V89" s="989"/>
      <c r="W89" s="989"/>
      <c r="X89" s="989"/>
      <c r="Y89" s="989"/>
      <c r="Z89" s="989"/>
      <c r="AA89" s="989"/>
      <c r="AB89" s="989"/>
      <c r="AC89" s="989"/>
      <c r="AD89" s="999" t="s">
        <v>1849</v>
      </c>
      <c r="AE89" s="1000">
        <v>1</v>
      </c>
      <c r="AF89" s="1001">
        <f>TUD_i_N.XS</f>
        <v>0.03</v>
      </c>
      <c r="AG89" s="1000">
        <f>TUD_i_P.XS</f>
        <v>0.01</v>
      </c>
      <c r="AH89" s="1001"/>
      <c r="AI89" s="1000">
        <f>TUD_i_TSS.XS</f>
        <v>0.75</v>
      </c>
      <c r="AJ89" s="12"/>
      <c r="AK89" s="12"/>
    </row>
    <row r="90" spans="1:37" ht="19.5">
      <c r="A90" s="12"/>
      <c r="B90" s="1419"/>
      <c r="C90" s="427" t="s">
        <v>969</v>
      </c>
      <c r="D90" s="337" t="s">
        <v>1850</v>
      </c>
      <c r="E90" s="1004" t="s">
        <v>1851</v>
      </c>
      <c r="F90" s="781" t="s">
        <v>1345</v>
      </c>
      <c r="G90" s="733">
        <v>1.2</v>
      </c>
      <c r="H90" s="12"/>
      <c r="I90" s="12"/>
      <c r="J90" s="989"/>
      <c r="K90" s="989"/>
      <c r="L90" s="989"/>
      <c r="M90" s="989"/>
      <c r="N90" s="989"/>
      <c r="O90" s="989"/>
      <c r="P90" s="989"/>
      <c r="Q90" s="989"/>
      <c r="R90" s="989"/>
      <c r="S90" s="989"/>
      <c r="T90" s="989"/>
      <c r="U90" s="989"/>
      <c r="V90" s="989"/>
      <c r="W90" s="989"/>
      <c r="X90" s="989"/>
      <c r="Y90" s="989"/>
      <c r="Z90" s="989"/>
      <c r="AA90" s="989"/>
      <c r="AB90" s="989"/>
      <c r="AC90" s="989"/>
      <c r="AD90" s="999" t="s">
        <v>2456</v>
      </c>
      <c r="AE90" s="1000">
        <v>1</v>
      </c>
      <c r="AF90" s="1001">
        <f>TUD_i_N.BM</f>
        <v>0.07</v>
      </c>
      <c r="AG90" s="1000">
        <f>TUD_i_P.BM</f>
        <v>0.02</v>
      </c>
      <c r="AH90" s="1001"/>
      <c r="AI90" s="1000">
        <f>TUD_i_TSS.BM</f>
        <v>0.9</v>
      </c>
      <c r="AJ90" s="12"/>
      <c r="AK90" s="12"/>
    </row>
    <row r="91" spans="1:37" ht="19.5">
      <c r="A91" s="12"/>
      <c r="B91" s="1419"/>
      <c r="C91" s="427" t="s">
        <v>1346</v>
      </c>
      <c r="D91" s="337" t="s">
        <v>1852</v>
      </c>
      <c r="E91" s="930" t="s">
        <v>1853</v>
      </c>
      <c r="F91" s="781" t="s">
        <v>1347</v>
      </c>
      <c r="G91" s="733">
        <v>0.1</v>
      </c>
      <c r="H91" s="12"/>
      <c r="I91" s="12"/>
      <c r="J91" s="989"/>
      <c r="K91" s="989"/>
      <c r="L91" s="989"/>
      <c r="M91" s="989"/>
      <c r="N91" s="989"/>
      <c r="O91" s="989"/>
      <c r="P91" s="989"/>
      <c r="Q91" s="989"/>
      <c r="R91" s="989"/>
      <c r="S91" s="989"/>
      <c r="T91" s="989"/>
      <c r="U91" s="989"/>
      <c r="V91" s="989"/>
      <c r="W91" s="989"/>
      <c r="X91" s="989"/>
      <c r="Y91" s="989"/>
      <c r="Z91" s="989"/>
      <c r="AA91" s="989"/>
      <c r="AB91" s="989"/>
      <c r="AC91" s="989"/>
      <c r="AD91" s="999" t="s">
        <v>2457</v>
      </c>
      <c r="AE91" s="1000">
        <v>1</v>
      </c>
      <c r="AF91" s="1001">
        <f>TUD_i_N.BM</f>
        <v>0.07</v>
      </c>
      <c r="AG91" s="1000">
        <f>TUD_i_P.BM</f>
        <v>0.02</v>
      </c>
      <c r="AH91" s="1001"/>
      <c r="AI91" s="1000">
        <f>TUD_i_TSS.BM</f>
        <v>0.9</v>
      </c>
      <c r="AJ91" s="12"/>
      <c r="AK91" s="12"/>
    </row>
    <row r="92" spans="1:37" ht="19.5">
      <c r="A92" s="12"/>
      <c r="B92" s="1419"/>
      <c r="C92" s="427" t="s">
        <v>970</v>
      </c>
      <c r="D92" s="337" t="s">
        <v>1854</v>
      </c>
      <c r="E92" s="930" t="s">
        <v>1855</v>
      </c>
      <c r="F92" s="733" t="s">
        <v>2389</v>
      </c>
      <c r="G92" s="733">
        <v>0.22</v>
      </c>
      <c r="H92" s="12"/>
      <c r="I92" s="12"/>
      <c r="J92" s="989"/>
      <c r="K92" s="873"/>
      <c r="L92" s="874"/>
      <c r="M92" s="874"/>
      <c r="N92" s="873"/>
      <c r="O92" s="1005"/>
      <c r="P92" s="873"/>
      <c r="Q92" s="873"/>
      <c r="R92" s="989"/>
      <c r="S92" s="989"/>
      <c r="T92" s="989"/>
      <c r="U92" s="989"/>
      <c r="V92" s="989"/>
      <c r="W92" s="989"/>
      <c r="X92" s="989"/>
      <c r="Y92" s="989"/>
      <c r="Z92" s="989"/>
      <c r="AA92" s="989"/>
      <c r="AB92" s="989"/>
      <c r="AC92" s="989"/>
      <c r="AD92" s="999" t="s">
        <v>2458</v>
      </c>
      <c r="AE92" s="1000"/>
      <c r="AF92" s="1001"/>
      <c r="AG92" s="1000">
        <v>1</v>
      </c>
      <c r="AH92" s="1001">
        <f>TUD_i_Charge_XPAO.PP</f>
        <v>-0.03225806451612903</v>
      </c>
      <c r="AI92" s="1000">
        <f>TUD_i_TSS.PP</f>
        <v>3.23</v>
      </c>
      <c r="AJ92" s="12"/>
      <c r="AK92" s="12"/>
    </row>
    <row r="93" spans="1:37" ht="19.5">
      <c r="A93" s="12"/>
      <c r="B93" s="1419"/>
      <c r="C93" s="427" t="s">
        <v>971</v>
      </c>
      <c r="D93" s="337" t="s">
        <v>1854</v>
      </c>
      <c r="E93" s="930" t="s">
        <v>1856</v>
      </c>
      <c r="F93" s="781" t="s">
        <v>2389</v>
      </c>
      <c r="G93" s="733">
        <v>0.22</v>
      </c>
      <c r="H93" s="12"/>
      <c r="I93" s="12"/>
      <c r="J93" s="989"/>
      <c r="K93" s="873"/>
      <c r="L93" s="874"/>
      <c r="M93" s="874"/>
      <c r="N93" s="873"/>
      <c r="O93" s="1005"/>
      <c r="P93" s="873"/>
      <c r="Q93" s="873"/>
      <c r="R93" s="989"/>
      <c r="S93" s="989"/>
      <c r="T93" s="989"/>
      <c r="U93" s="989"/>
      <c r="V93" s="989"/>
      <c r="W93" s="989"/>
      <c r="X93" s="989"/>
      <c r="Y93" s="989"/>
      <c r="Z93" s="989"/>
      <c r="AA93" s="989"/>
      <c r="AB93" s="989"/>
      <c r="AC93" s="989"/>
      <c r="AD93" s="999" t="s">
        <v>2459</v>
      </c>
      <c r="AE93" s="1000">
        <v>1</v>
      </c>
      <c r="AF93" s="1001"/>
      <c r="AG93" s="1000"/>
      <c r="AH93" s="1001"/>
      <c r="AI93" s="1000">
        <f>TUD_i_TSS.PHA</f>
        <v>0.6</v>
      </c>
      <c r="AJ93" s="12"/>
      <c r="AK93" s="12"/>
    </row>
    <row r="94" spans="1:37" ht="19.5">
      <c r="A94" s="12"/>
      <c r="B94" s="1419"/>
      <c r="C94" s="423" t="s">
        <v>1348</v>
      </c>
      <c r="D94" s="425" t="s">
        <v>1857</v>
      </c>
      <c r="E94" s="1004" t="s">
        <v>1858</v>
      </c>
      <c r="F94" s="781" t="s">
        <v>1349</v>
      </c>
      <c r="G94" s="781">
        <v>0.35</v>
      </c>
      <c r="H94" s="12"/>
      <c r="I94" s="12"/>
      <c r="J94" s="989"/>
      <c r="K94" s="873"/>
      <c r="L94" s="874"/>
      <c r="M94" s="874"/>
      <c r="N94" s="873"/>
      <c r="O94" s="1005"/>
      <c r="P94" s="873"/>
      <c r="Q94" s="873"/>
      <c r="R94" s="989"/>
      <c r="S94" s="989"/>
      <c r="T94" s="989"/>
      <c r="U94" s="989"/>
      <c r="V94" s="989"/>
      <c r="W94" s="989"/>
      <c r="X94" s="989"/>
      <c r="Y94" s="989"/>
      <c r="Z94" s="989"/>
      <c r="AA94" s="989"/>
      <c r="AB94" s="989"/>
      <c r="AC94" s="989"/>
      <c r="AD94" s="999" t="s">
        <v>2212</v>
      </c>
      <c r="AE94" s="1000">
        <v>1</v>
      </c>
      <c r="AF94" s="1001"/>
      <c r="AG94" s="1000"/>
      <c r="AH94" s="1001"/>
      <c r="AI94" s="1000">
        <f>TUD_i_TSS.GLY</f>
        <v>0.84</v>
      </c>
      <c r="AJ94" s="12"/>
      <c r="AK94" s="12"/>
    </row>
    <row r="95" spans="1:37" ht="19.5">
      <c r="A95" s="12"/>
      <c r="B95" s="1419"/>
      <c r="C95" s="423" t="s">
        <v>1351</v>
      </c>
      <c r="D95" s="337" t="s">
        <v>1859</v>
      </c>
      <c r="E95" s="1004" t="s">
        <v>1860</v>
      </c>
      <c r="F95" s="781" t="s">
        <v>1349</v>
      </c>
      <c r="G95" s="781">
        <v>0.01</v>
      </c>
      <c r="H95" s="12"/>
      <c r="I95" s="12"/>
      <c r="J95" s="178"/>
      <c r="K95" s="873"/>
      <c r="L95" s="874"/>
      <c r="M95" s="874"/>
      <c r="N95" s="873"/>
      <c r="O95" s="1005"/>
      <c r="P95" s="1006"/>
      <c r="Q95" s="873"/>
      <c r="R95" s="989"/>
      <c r="S95" s="989"/>
      <c r="T95" s="989"/>
      <c r="U95" s="989"/>
      <c r="V95" s="989"/>
      <c r="W95" s="989"/>
      <c r="X95" s="989"/>
      <c r="Y95" s="989"/>
      <c r="Z95" s="989"/>
      <c r="AA95" s="989"/>
      <c r="AB95" s="989"/>
      <c r="AC95" s="989"/>
      <c r="AD95" s="999" t="s">
        <v>2213</v>
      </c>
      <c r="AE95" s="1000">
        <v>1</v>
      </c>
      <c r="AF95" s="1001">
        <f>TUD_i_N.BM</f>
        <v>0.07</v>
      </c>
      <c r="AG95" s="1000">
        <f>TUD_i_P.BM</f>
        <v>0.02</v>
      </c>
      <c r="AH95" s="1001"/>
      <c r="AI95" s="1000">
        <f>TUD_i_TSS.BM</f>
        <v>0.9</v>
      </c>
      <c r="AJ95" s="12"/>
      <c r="AK95" s="12"/>
    </row>
    <row r="96" spans="1:37" ht="20.25" thickBot="1">
      <c r="A96" s="12"/>
      <c r="B96" s="1419"/>
      <c r="C96" s="427" t="s">
        <v>972</v>
      </c>
      <c r="D96" s="337" t="s">
        <v>1861</v>
      </c>
      <c r="E96" s="930" t="s">
        <v>1862</v>
      </c>
      <c r="F96" s="781" t="s">
        <v>973</v>
      </c>
      <c r="G96" s="733">
        <v>0.93</v>
      </c>
      <c r="H96" s="12"/>
      <c r="I96" s="12"/>
      <c r="J96" s="989"/>
      <c r="K96" s="873"/>
      <c r="L96" s="874"/>
      <c r="M96" s="874"/>
      <c r="N96" s="873"/>
      <c r="O96" s="1005"/>
      <c r="P96" s="1007"/>
      <c r="Q96" s="873"/>
      <c r="R96" s="989"/>
      <c r="S96" s="989"/>
      <c r="T96" s="989"/>
      <c r="U96" s="989"/>
      <c r="V96" s="989"/>
      <c r="W96" s="989"/>
      <c r="X96" s="989"/>
      <c r="Y96" s="989"/>
      <c r="Z96" s="989"/>
      <c r="AA96" s="989"/>
      <c r="AB96" s="989"/>
      <c r="AC96" s="989"/>
      <c r="AD96" s="1008" t="s">
        <v>2461</v>
      </c>
      <c r="AE96" s="1009"/>
      <c r="AF96" s="1010"/>
      <c r="AG96" s="1009"/>
      <c r="AH96" s="1010"/>
      <c r="AI96" s="1009">
        <v>-1</v>
      </c>
      <c r="AJ96" s="12"/>
      <c r="AK96" s="12"/>
    </row>
    <row r="97" spans="1:37" ht="21.75" thickBot="1">
      <c r="A97" s="12"/>
      <c r="B97" s="1419"/>
      <c r="C97" s="1011" t="s">
        <v>974</v>
      </c>
      <c r="D97" s="425" t="s">
        <v>1863</v>
      </c>
      <c r="E97" s="1004" t="s">
        <v>1864</v>
      </c>
      <c r="F97" s="781" t="s">
        <v>973</v>
      </c>
      <c r="G97" s="781">
        <v>0.5</v>
      </c>
      <c r="H97" s="12"/>
      <c r="I97" s="12"/>
      <c r="J97" s="1012"/>
      <c r="K97" s="1013"/>
      <c r="L97" s="1014" t="s">
        <v>975</v>
      </c>
      <c r="M97" s="1014" t="s">
        <v>976</v>
      </c>
      <c r="N97" s="1014" t="s">
        <v>977</v>
      </c>
      <c r="O97" s="1014" t="s">
        <v>978</v>
      </c>
      <c r="P97" s="1014" t="s">
        <v>979</v>
      </c>
      <c r="Q97" s="1014" t="s">
        <v>1605</v>
      </c>
      <c r="R97" s="1014" t="s">
        <v>980</v>
      </c>
      <c r="S97" s="1014" t="s">
        <v>981</v>
      </c>
      <c r="T97" s="1014" t="s">
        <v>982</v>
      </c>
      <c r="U97" s="1014" t="s">
        <v>983</v>
      </c>
      <c r="V97" s="1014" t="s">
        <v>984</v>
      </c>
      <c r="W97" s="1014" t="s">
        <v>985</v>
      </c>
      <c r="X97" s="1014" t="s">
        <v>986</v>
      </c>
      <c r="Y97" s="1014" t="s">
        <v>987</v>
      </c>
      <c r="Z97" s="1014" t="s">
        <v>988</v>
      </c>
      <c r="AA97" s="1014" t="s">
        <v>989</v>
      </c>
      <c r="AB97" s="1014" t="s">
        <v>990</v>
      </c>
      <c r="AC97" s="1015" t="s">
        <v>991</v>
      </c>
      <c r="AD97" s="989"/>
      <c r="AE97" s="1016"/>
      <c r="AF97" s="1016"/>
      <c r="AG97" s="1016"/>
      <c r="AH97" s="1016"/>
      <c r="AI97" s="1016"/>
      <c r="AJ97" s="12"/>
      <c r="AK97" s="12"/>
    </row>
    <row r="98" spans="1:37" ht="19.5">
      <c r="A98" s="12"/>
      <c r="B98" s="1419"/>
      <c r="C98" s="1011" t="s">
        <v>992</v>
      </c>
      <c r="D98" s="425" t="s">
        <v>1865</v>
      </c>
      <c r="E98" s="1004" t="s">
        <v>1866</v>
      </c>
      <c r="F98" s="781" t="s">
        <v>993</v>
      </c>
      <c r="G98" s="781">
        <v>0.01</v>
      </c>
      <c r="H98" s="12"/>
      <c r="I98" s="998"/>
      <c r="J98" s="1017" t="s">
        <v>2467</v>
      </c>
      <c r="K98" s="1018" t="s">
        <v>2468</v>
      </c>
      <c r="L98" s="1019"/>
      <c r="M98" s="1019">
        <f>1-TUD_f_SI</f>
        <v>1</v>
      </c>
      <c r="N98" s="1019"/>
      <c r="O98" s="1019">
        <f>TUD_i_N.XS-TUD_i_N.SI*TUD_f_SI-TUD_i_N.SF*(1-TUD_f_SI)</f>
        <v>0</v>
      </c>
      <c r="P98" s="1019"/>
      <c r="Q98" s="1019"/>
      <c r="R98" s="1020">
        <f>TUD_i_P.XS-TUD_i_P.SI*TUD_f_SI-TUD_i_P.SF*(1-TUD_f_SI)</f>
        <v>0</v>
      </c>
      <c r="S98" s="1019">
        <f>TUD_f_SI</f>
        <v>0</v>
      </c>
      <c r="T98" s="1021">
        <f>TUD_v_1_SNH*TUD_i_Charge_NHx+TUD_v_1_SPO*TUD_i_Charge_PO4</f>
        <v>0</v>
      </c>
      <c r="U98" s="1019"/>
      <c r="V98" s="1019">
        <v>-1</v>
      </c>
      <c r="W98" s="1019"/>
      <c r="X98" s="1019"/>
      <c r="Y98" s="1019"/>
      <c r="Z98" s="1019"/>
      <c r="AA98" s="1019"/>
      <c r="AB98" s="1019"/>
      <c r="AC98" s="1022">
        <f>-TUD_i_TSS.XS</f>
        <v>-0.75</v>
      </c>
      <c r="AD98" s="989"/>
      <c r="AE98" s="1023">
        <f aca="true" t="shared" si="0" ref="AE98:AI107">AE$79*$L98+AE$80*$M98+AE$81*$N98+AE$82*$O98+AE$83*$P98+AE$84*$Q98+AE$85*$R98+AE$86*$S98+AE$87*$T98+AE$88*$U98+AE$89*$V98+AE$90*$W98+AE$91*$X98+AE$92*$Y98+AE$93*$Z98+AE$94*$AA98+AE$95*$AB98+AE$96*$AC98</f>
        <v>0</v>
      </c>
      <c r="AF98" s="1024">
        <f t="shared" si="0"/>
        <v>0</v>
      </c>
      <c r="AG98" s="1025">
        <f t="shared" si="0"/>
        <v>0</v>
      </c>
      <c r="AH98" s="1024">
        <f t="shared" si="0"/>
        <v>0</v>
      </c>
      <c r="AI98" s="1026">
        <f t="shared" si="0"/>
        <v>0</v>
      </c>
      <c r="AJ98" s="12"/>
      <c r="AK98" s="12"/>
    </row>
    <row r="99" spans="1:37" ht="19.5">
      <c r="A99" s="12"/>
      <c r="B99" s="1419"/>
      <c r="C99" s="423" t="s">
        <v>1355</v>
      </c>
      <c r="D99" s="425" t="s">
        <v>1867</v>
      </c>
      <c r="E99" s="1004" t="s">
        <v>1868</v>
      </c>
      <c r="F99" s="781" t="s">
        <v>1356</v>
      </c>
      <c r="G99" s="781">
        <v>0.2</v>
      </c>
      <c r="H99" s="12"/>
      <c r="I99" s="12"/>
      <c r="J99" s="1017" t="s">
        <v>2473</v>
      </c>
      <c r="K99" s="1018" t="s">
        <v>2474</v>
      </c>
      <c r="L99" s="1019"/>
      <c r="M99" s="1019">
        <f>1-TUD_f_SI</f>
        <v>1</v>
      </c>
      <c r="N99" s="1019"/>
      <c r="O99" s="1019">
        <f>TUD_i_N.XS-TUD_i_N.SI*TUD_f_SI-TUD_i_N.SF*(1-TUD_f_SI)</f>
        <v>0</v>
      </c>
      <c r="P99" s="1019"/>
      <c r="Q99" s="1019"/>
      <c r="R99" s="1020">
        <f>TUD_i_P.XS-TUD_i_P.SI*TUD_f_SI-TUD_i_P.SF*(1-TUD_f_SI)</f>
        <v>0</v>
      </c>
      <c r="S99" s="1019">
        <f>TUD_f_SI</f>
        <v>0</v>
      </c>
      <c r="T99" s="1021">
        <f>TUD_v_2_SNH*TUD_i_Charge_NHx+TUD_v_2_SPO*TUD_i_Charge_PO4</f>
        <v>0</v>
      </c>
      <c r="U99" s="1019"/>
      <c r="V99" s="1019">
        <v>-1</v>
      </c>
      <c r="W99" s="1019"/>
      <c r="X99" s="1019"/>
      <c r="Y99" s="1019"/>
      <c r="Z99" s="1019"/>
      <c r="AA99" s="1019"/>
      <c r="AB99" s="1019"/>
      <c r="AC99" s="1022">
        <f>-TUD_i_TSS.XS</f>
        <v>-0.75</v>
      </c>
      <c r="AD99" s="989"/>
      <c r="AE99" s="1027">
        <f t="shared" si="0"/>
        <v>0</v>
      </c>
      <c r="AF99" s="1028">
        <f t="shared" si="0"/>
        <v>0</v>
      </c>
      <c r="AG99" s="1029">
        <f t="shared" si="0"/>
        <v>0</v>
      </c>
      <c r="AH99" s="1028">
        <f t="shared" si="0"/>
        <v>0</v>
      </c>
      <c r="AI99" s="1030">
        <f t="shared" si="0"/>
        <v>0</v>
      </c>
      <c r="AJ99" s="12"/>
      <c r="AK99" s="12"/>
    </row>
    <row r="100" spans="1:37" ht="19.5">
      <c r="A100" s="12"/>
      <c r="B100" s="1419"/>
      <c r="C100" s="427" t="s">
        <v>994</v>
      </c>
      <c r="D100" s="425" t="s">
        <v>1869</v>
      </c>
      <c r="E100" s="930" t="s">
        <v>1870</v>
      </c>
      <c r="F100" s="781" t="s">
        <v>1345</v>
      </c>
      <c r="G100" s="781">
        <v>5.51</v>
      </c>
      <c r="H100" s="12"/>
      <c r="I100" s="12"/>
      <c r="J100" s="1017" t="s">
        <v>2475</v>
      </c>
      <c r="K100" s="1018" t="s">
        <v>2476</v>
      </c>
      <c r="L100" s="1019"/>
      <c r="M100" s="1019">
        <f>1-TUD_f_SI</f>
        <v>1</v>
      </c>
      <c r="N100" s="1019"/>
      <c r="O100" s="1019">
        <f>TUD_i_N.XS-TUD_i_N.SI*TUD_f_SI-TUD_i_N.SF*(1-TUD_f_SI)</f>
        <v>0</v>
      </c>
      <c r="P100" s="1019"/>
      <c r="Q100" s="1019"/>
      <c r="R100" s="1020">
        <f>TUD_i_P.XS-TUD_i_P.SI*TUD_f_SI-TUD_i_P.SF*(1-TUD_f_SI)</f>
        <v>0</v>
      </c>
      <c r="S100" s="1019">
        <f>TUD_f_SI</f>
        <v>0</v>
      </c>
      <c r="T100" s="1021">
        <f>TUD_v_3_SNH*TUD_i_Charge_NHx+TUD_v_3_SPO*TUD_i_Charge_PO4</f>
        <v>0</v>
      </c>
      <c r="U100" s="1019"/>
      <c r="V100" s="1019">
        <v>-1</v>
      </c>
      <c r="W100" s="1019"/>
      <c r="X100" s="1019"/>
      <c r="Y100" s="1019"/>
      <c r="Z100" s="1019"/>
      <c r="AA100" s="1019"/>
      <c r="AB100" s="1019"/>
      <c r="AC100" s="1022">
        <f>-TUD_i_TSS.XS</f>
        <v>-0.75</v>
      </c>
      <c r="AD100" s="989"/>
      <c r="AE100" s="1027">
        <f t="shared" si="0"/>
        <v>0</v>
      </c>
      <c r="AF100" s="1028">
        <f t="shared" si="0"/>
        <v>0</v>
      </c>
      <c r="AG100" s="1029">
        <f t="shared" si="0"/>
        <v>0</v>
      </c>
      <c r="AH100" s="1028">
        <f t="shared" si="0"/>
        <v>0</v>
      </c>
      <c r="AI100" s="1030">
        <f t="shared" si="0"/>
        <v>0</v>
      </c>
      <c r="AJ100" s="12"/>
      <c r="AK100" s="12"/>
    </row>
    <row r="101" spans="1:37" ht="19.5">
      <c r="A101" s="12"/>
      <c r="B101" s="1419"/>
      <c r="C101" s="1031" t="s">
        <v>1871</v>
      </c>
      <c r="D101" s="337" t="s">
        <v>2181</v>
      </c>
      <c r="E101" s="930" t="s">
        <v>1872</v>
      </c>
      <c r="F101" s="733" t="s">
        <v>2389</v>
      </c>
      <c r="G101" s="733">
        <v>0.8</v>
      </c>
      <c r="H101" s="12"/>
      <c r="I101" s="12"/>
      <c r="J101" s="1017" t="s">
        <v>2477</v>
      </c>
      <c r="K101" s="1018" t="s">
        <v>725</v>
      </c>
      <c r="L101" s="1032">
        <f>-(1-TUD_Y_H)/TUD_Y_H</f>
        <v>-0.5873015873015873</v>
      </c>
      <c r="M101" s="1032">
        <f>-1/TUD_Y_H</f>
        <v>-1.5873015873015872</v>
      </c>
      <c r="N101" s="1032"/>
      <c r="O101" s="1021">
        <f>TUD_i_N.SF/TUD_Y_H-TUD_i_N.BM</f>
        <v>-0.02238095238095239</v>
      </c>
      <c r="P101" s="1019"/>
      <c r="Q101" s="1019"/>
      <c r="R101" s="1021">
        <f>TUD_i_P.SF/TUD_Y_H-TUD_i_P.BM</f>
        <v>-0.004126984126984128</v>
      </c>
      <c r="S101" s="1019"/>
      <c r="T101" s="1021">
        <f>TUD_v_4_SNH*TUD_i_Charge_NHx+TUD_v_4_SPO*TUD_i_Charge_PO4</f>
        <v>-0.001398946675444372</v>
      </c>
      <c r="U101" s="1019"/>
      <c r="V101" s="1019"/>
      <c r="W101" s="1019">
        <v>1</v>
      </c>
      <c r="X101" s="1019"/>
      <c r="Y101" s="1019"/>
      <c r="Z101" s="1019"/>
      <c r="AA101" s="1019"/>
      <c r="AB101" s="1019"/>
      <c r="AC101" s="1022">
        <f>TUD_i_TSS.BM</f>
        <v>0.9</v>
      </c>
      <c r="AD101" s="989"/>
      <c r="AE101" s="1027">
        <f t="shared" si="0"/>
        <v>1.1102230246251565E-16</v>
      </c>
      <c r="AF101" s="1028">
        <f t="shared" si="0"/>
        <v>0</v>
      </c>
      <c r="AG101" s="1029">
        <f t="shared" si="0"/>
        <v>0</v>
      </c>
      <c r="AH101" s="1028">
        <f t="shared" si="0"/>
        <v>0</v>
      </c>
      <c r="AI101" s="1030">
        <f t="shared" si="0"/>
        <v>0</v>
      </c>
      <c r="AJ101" s="12"/>
      <c r="AK101" s="12"/>
    </row>
    <row r="102" spans="1:37" ht="19.5">
      <c r="A102" s="12"/>
      <c r="B102" s="1419"/>
      <c r="C102" s="1033" t="s">
        <v>1873</v>
      </c>
      <c r="D102" s="337" t="s">
        <v>1874</v>
      </c>
      <c r="E102" s="1004" t="s">
        <v>1875</v>
      </c>
      <c r="F102" s="781" t="s">
        <v>995</v>
      </c>
      <c r="G102" s="781">
        <v>0.096</v>
      </c>
      <c r="H102" s="12"/>
      <c r="I102" s="12"/>
      <c r="J102" s="1017" t="s">
        <v>2479</v>
      </c>
      <c r="K102" s="1018" t="s">
        <v>731</v>
      </c>
      <c r="L102" s="1032">
        <f>-(1-TUD_Y_H)/TUD_Y_H</f>
        <v>-0.5873015873015873</v>
      </c>
      <c r="M102" s="1032"/>
      <c r="N102" s="1032">
        <f>-1/TUD_Y_H</f>
        <v>-1.5873015873015872</v>
      </c>
      <c r="O102" s="1019">
        <f>-TUD_i_N.BM</f>
        <v>-0.07</v>
      </c>
      <c r="P102" s="1019"/>
      <c r="Q102" s="1019"/>
      <c r="R102" s="1019">
        <f>-TUD_i_P.BM</f>
        <v>-0.02</v>
      </c>
      <c r="S102" s="1019"/>
      <c r="T102" s="1021">
        <f>TUD_v_5_SNH*TUD_i_Charge_NHx+TUD_v_5_SPO*TUD_i_Charge_PO4+TUD_v_5_SA*TUD_i_Charge_Ac</f>
        <v>0.02076932923707117</v>
      </c>
      <c r="U102" s="1019"/>
      <c r="V102" s="1019"/>
      <c r="W102" s="1019">
        <v>1</v>
      </c>
      <c r="X102" s="1019"/>
      <c r="Y102" s="1019"/>
      <c r="Z102" s="1019"/>
      <c r="AA102" s="1019"/>
      <c r="AB102" s="1019"/>
      <c r="AC102" s="1022">
        <f>TUD_i_TSS.BM</f>
        <v>0.9</v>
      </c>
      <c r="AD102" s="989"/>
      <c r="AE102" s="1027">
        <f t="shared" si="0"/>
        <v>1.1102230246251565E-16</v>
      </c>
      <c r="AF102" s="1028">
        <f t="shared" si="0"/>
        <v>0</v>
      </c>
      <c r="AG102" s="1029">
        <f t="shared" si="0"/>
        <v>0</v>
      </c>
      <c r="AH102" s="1028">
        <f t="shared" si="0"/>
        <v>0</v>
      </c>
      <c r="AI102" s="1030">
        <f t="shared" si="0"/>
        <v>0</v>
      </c>
      <c r="AJ102" s="12"/>
      <c r="AK102" s="12"/>
    </row>
    <row r="103" spans="1:37" ht="19.5">
      <c r="A103" s="12"/>
      <c r="B103" s="1419"/>
      <c r="C103" s="427" t="s">
        <v>996</v>
      </c>
      <c r="D103" s="337" t="s">
        <v>1876</v>
      </c>
      <c r="E103" s="930" t="s">
        <v>1877</v>
      </c>
      <c r="F103" s="733" t="s">
        <v>1077</v>
      </c>
      <c r="G103" s="733">
        <v>0.06</v>
      </c>
      <c r="H103" s="12"/>
      <c r="I103" s="12"/>
      <c r="J103" s="1017" t="s">
        <v>2482</v>
      </c>
      <c r="K103" s="1018" t="s">
        <v>734</v>
      </c>
      <c r="L103" s="1032"/>
      <c r="M103" s="1032">
        <f>-1/TUD_Y_H</f>
        <v>-1.5873015873015872</v>
      </c>
      <c r="N103" s="1032"/>
      <c r="O103" s="1021">
        <f>TUD_i_N.SF/TUD_Y_H-TUD_i_N.BM</f>
        <v>-0.02238095238095239</v>
      </c>
      <c r="P103" s="1032">
        <f>-(1-TUD_Y_H)/(TUD_i_NOx.N2*TUD_Y_H)</f>
        <v>-0.20555555555555555</v>
      </c>
      <c r="Q103" s="1032">
        <f>(1-TUD_Y_H)/(TUD_i_NOx.N2*TUD_Y_H)</f>
        <v>0.20555555555555555</v>
      </c>
      <c r="R103" s="1021">
        <f>TUD_i_P.SF/TUD_Y_H-TUD_i_P.BM</f>
        <v>-0.004126984126984128</v>
      </c>
      <c r="S103" s="1019"/>
      <c r="T103" s="1021">
        <f>TUD_v_6_SNH*TUD_i_Charge_NHx+TUD_v_6_SPO*TUD_i_Charge_PO4+TUD_v_6_SNO*TUD_i_Charge_NOx</f>
        <v>0.013283593007095309</v>
      </c>
      <c r="U103" s="1019"/>
      <c r="V103" s="1019"/>
      <c r="W103" s="1019">
        <v>1</v>
      </c>
      <c r="X103" s="1019"/>
      <c r="Y103" s="1019"/>
      <c r="Z103" s="1019"/>
      <c r="AA103" s="1019"/>
      <c r="AB103" s="1019"/>
      <c r="AC103" s="1022">
        <f>TUD_i_TSS.BM</f>
        <v>0.9</v>
      </c>
      <c r="AD103" s="989"/>
      <c r="AE103" s="1027">
        <f t="shared" si="0"/>
        <v>0</v>
      </c>
      <c r="AF103" s="1028">
        <f t="shared" si="0"/>
        <v>0</v>
      </c>
      <c r="AG103" s="1029">
        <f t="shared" si="0"/>
        <v>0</v>
      </c>
      <c r="AH103" s="1028">
        <f t="shared" si="0"/>
        <v>0</v>
      </c>
      <c r="AI103" s="1030">
        <f t="shared" si="0"/>
        <v>0</v>
      </c>
      <c r="AJ103" s="12"/>
      <c r="AK103" s="12"/>
    </row>
    <row r="104" spans="1:37" ht="19.5">
      <c r="A104" s="12"/>
      <c r="B104" s="1419"/>
      <c r="C104" s="427" t="s">
        <v>997</v>
      </c>
      <c r="D104" s="337" t="s">
        <v>1878</v>
      </c>
      <c r="E104" s="930" t="s">
        <v>1879</v>
      </c>
      <c r="F104" s="733" t="s">
        <v>1077</v>
      </c>
      <c r="G104" s="733">
        <v>0.09</v>
      </c>
      <c r="H104" s="12"/>
      <c r="I104" s="12"/>
      <c r="J104" s="1017" t="s">
        <v>2484</v>
      </c>
      <c r="K104" s="1018" t="s">
        <v>739</v>
      </c>
      <c r="L104" s="1032"/>
      <c r="M104" s="1032"/>
      <c r="N104" s="1032">
        <f>-1/TUD_Y_H</f>
        <v>-1.5873015873015872</v>
      </c>
      <c r="O104" s="1019">
        <f>-TUD_i_N.BM</f>
        <v>-0.07</v>
      </c>
      <c r="P104" s="1032">
        <f>-(1-TUD_Y_H)/(TUD_i_NOx.N2*TUD_Y_H)</f>
        <v>-0.20555555555555555</v>
      </c>
      <c r="Q104" s="1032">
        <f>(1-TUD_Y_H)/(TUD_i_NOx.N2*TUD_Y_H)</f>
        <v>0.20555555555555555</v>
      </c>
      <c r="R104" s="1019">
        <f>-TUD_i_P.BM</f>
        <v>-0.02</v>
      </c>
      <c r="S104" s="1019"/>
      <c r="T104" s="1021">
        <f>TUD_v_7_SNH*TUD_i_Charge_NHx+TUD_v_7_SPO*TUD_i_Charge_PO4+TUD_v_7_SNO*TUD_i_Charge_NOx+TUD_v_7_SA*TUD_i_Charge_Ac</f>
        <v>0.03545186891961085</v>
      </c>
      <c r="U104" s="1019"/>
      <c r="V104" s="1019"/>
      <c r="W104" s="1019">
        <v>1</v>
      </c>
      <c r="X104" s="1019"/>
      <c r="Y104" s="1019"/>
      <c r="Z104" s="1019"/>
      <c r="AA104" s="1019"/>
      <c r="AB104" s="1019"/>
      <c r="AC104" s="1022">
        <f>TUD_i_TSS.BM</f>
        <v>0.9</v>
      </c>
      <c r="AD104" s="989"/>
      <c r="AE104" s="1027">
        <f t="shared" si="0"/>
        <v>0</v>
      </c>
      <c r="AF104" s="1028">
        <f t="shared" si="0"/>
        <v>0</v>
      </c>
      <c r="AG104" s="1029">
        <f t="shared" si="0"/>
        <v>0</v>
      </c>
      <c r="AH104" s="1028">
        <f t="shared" si="0"/>
        <v>0</v>
      </c>
      <c r="AI104" s="1030">
        <f t="shared" si="0"/>
        <v>0</v>
      </c>
      <c r="AJ104" s="12"/>
      <c r="AK104" s="12"/>
    </row>
    <row r="105" spans="1:37" ht="19.5">
      <c r="A105" s="12"/>
      <c r="B105" s="1419"/>
      <c r="C105" s="427" t="s">
        <v>998</v>
      </c>
      <c r="D105" s="337" t="s">
        <v>1880</v>
      </c>
      <c r="E105" s="930" t="s">
        <v>1881</v>
      </c>
      <c r="F105" s="733" t="s">
        <v>999</v>
      </c>
      <c r="G105" s="733">
        <v>0.05</v>
      </c>
      <c r="H105" s="12"/>
      <c r="I105" s="12"/>
      <c r="J105" s="1017" t="s">
        <v>2486</v>
      </c>
      <c r="K105" s="1018" t="s">
        <v>2487</v>
      </c>
      <c r="L105" s="1032"/>
      <c r="M105" s="1019">
        <f>-1</f>
        <v>-1</v>
      </c>
      <c r="N105" s="1019">
        <f>1</f>
        <v>1</v>
      </c>
      <c r="O105" s="1019">
        <f>TUD_i_N.SF</f>
        <v>0.03</v>
      </c>
      <c r="P105" s="1019"/>
      <c r="Q105" s="1019"/>
      <c r="R105" s="1019">
        <f>TUD_i_P.SF</f>
        <v>0.01</v>
      </c>
      <c r="S105" s="1019"/>
      <c r="T105" s="1021">
        <f>TUD_v_8_SNH*TUD_i_Charge_NHx+TUD_v_8_SPO*TUD_i_Charge_PO4+TUD_i_Charge_Ac</f>
        <v>-0.013966013824884793</v>
      </c>
      <c r="U105" s="1019"/>
      <c r="V105" s="1019"/>
      <c r="W105" s="1019"/>
      <c r="X105" s="1019"/>
      <c r="Y105" s="1019"/>
      <c r="Z105" s="1019"/>
      <c r="AA105" s="1019"/>
      <c r="AB105" s="1019"/>
      <c r="AC105" s="1022"/>
      <c r="AD105" s="989"/>
      <c r="AE105" s="1027">
        <f t="shared" si="0"/>
        <v>0</v>
      </c>
      <c r="AF105" s="1028">
        <f t="shared" si="0"/>
        <v>0</v>
      </c>
      <c r="AG105" s="1029">
        <f t="shared" si="0"/>
        <v>0</v>
      </c>
      <c r="AH105" s="1028">
        <f t="shared" si="0"/>
        <v>0</v>
      </c>
      <c r="AI105" s="1030">
        <f t="shared" si="0"/>
        <v>0</v>
      </c>
      <c r="AJ105" s="12"/>
      <c r="AK105" s="12"/>
    </row>
    <row r="106" spans="1:37" ht="19.5">
      <c r="A106" s="12"/>
      <c r="B106" s="1419"/>
      <c r="C106" s="427" t="s">
        <v>1331</v>
      </c>
      <c r="D106" s="337" t="s">
        <v>1838</v>
      </c>
      <c r="E106" s="930" t="s">
        <v>1882</v>
      </c>
      <c r="F106" s="733" t="s">
        <v>1333</v>
      </c>
      <c r="G106" s="733">
        <v>4</v>
      </c>
      <c r="H106" s="12"/>
      <c r="I106" s="12"/>
      <c r="J106" s="1017" t="s">
        <v>2493</v>
      </c>
      <c r="K106" s="1018" t="s">
        <v>2494</v>
      </c>
      <c r="L106" s="1032"/>
      <c r="M106" s="1019"/>
      <c r="N106" s="1019"/>
      <c r="O106" s="1019">
        <f>TUD_i_N.BM-TUD_i_N.XI*TUD_f_XI.H-TUD_i_N.XS*(1-TUD_f_XI.H)</f>
        <v>0.04000000000000001</v>
      </c>
      <c r="P106" s="1019"/>
      <c r="Q106" s="1019"/>
      <c r="R106" s="1019">
        <f>TUD_i_P.BM-TUD_i_P.XI*TUD_f_XI.H-TUD_i_P.XS*(1-TUD_f_XI.H)</f>
        <v>0.009999999999999998</v>
      </c>
      <c r="S106" s="1019"/>
      <c r="T106" s="1021">
        <f>TUD_v_9_SNH*TUD_i_Charge_NHx+TUD_v_9_SPO*TUD_i_Charge_PO4</f>
        <v>0.0023732718894009224</v>
      </c>
      <c r="U106" s="1019">
        <f>TUD_f_XI.H</f>
        <v>0.1</v>
      </c>
      <c r="V106" s="1019">
        <f>1-TUD_f_XI.H</f>
        <v>0.9</v>
      </c>
      <c r="W106" s="1019">
        <v>-1</v>
      </c>
      <c r="X106" s="1019"/>
      <c r="Y106" s="1019"/>
      <c r="Z106" s="1019"/>
      <c r="AA106" s="1019"/>
      <c r="AB106" s="1019"/>
      <c r="AC106" s="1022">
        <f>TUD_i_TSS.XI*TUD_f_XI.H+TUD_i_TSS.XS*(1-TUD_f_XI.H)-TUD_i_TSS.BM</f>
        <v>-0.15000000000000002</v>
      </c>
      <c r="AD106" s="989"/>
      <c r="AE106" s="1027">
        <f t="shared" si="0"/>
        <v>0</v>
      </c>
      <c r="AF106" s="1028">
        <f t="shared" si="0"/>
        <v>0</v>
      </c>
      <c r="AG106" s="1029">
        <f t="shared" si="0"/>
        <v>0</v>
      </c>
      <c r="AH106" s="1028">
        <f t="shared" si="0"/>
        <v>0</v>
      </c>
      <c r="AI106" s="1030">
        <f t="shared" si="0"/>
        <v>0</v>
      </c>
      <c r="AJ106" s="12"/>
      <c r="AK106" s="12"/>
    </row>
    <row r="107" spans="1:37" ht="19.5">
      <c r="A107" s="12"/>
      <c r="B107" s="1419"/>
      <c r="C107" s="423" t="s">
        <v>1081</v>
      </c>
      <c r="D107" s="1034" t="s">
        <v>1000</v>
      </c>
      <c r="E107" s="1004" t="s">
        <v>1883</v>
      </c>
      <c r="F107" s="733" t="s">
        <v>1082</v>
      </c>
      <c r="G107" s="781">
        <v>0.2</v>
      </c>
      <c r="H107" s="12"/>
      <c r="I107" s="12"/>
      <c r="J107" s="1017" t="s">
        <v>2499</v>
      </c>
      <c r="K107" s="1018" t="s">
        <v>750</v>
      </c>
      <c r="L107" s="1032"/>
      <c r="M107" s="1019"/>
      <c r="N107" s="1019">
        <f>-1</f>
        <v>-1</v>
      </c>
      <c r="O107" s="1019"/>
      <c r="P107" s="1019"/>
      <c r="Q107" s="1019"/>
      <c r="R107" s="1019">
        <f>TUD_Y_PO.AN</f>
        <v>0.35</v>
      </c>
      <c r="S107" s="1019"/>
      <c r="T107" s="1021">
        <f>TUD_v_10_SPO*TUD_i_Charge_PO4-TUD_i_Charge_Ac+TUD_v_10_XPP*TUD_i_Charge_XPAO.PP</f>
        <v>0.00997983870967742</v>
      </c>
      <c r="U107" s="1019"/>
      <c r="V107" s="1019"/>
      <c r="W107" s="1019"/>
      <c r="X107" s="1019"/>
      <c r="Y107" s="1019">
        <f>-TUD_Y_PO.AN</f>
        <v>-0.35</v>
      </c>
      <c r="Z107" s="1019">
        <f>TUD_Y_SA.AN</f>
        <v>1.5</v>
      </c>
      <c r="AA107" s="1019">
        <f>1-TUD_Y_SA.AN</f>
        <v>-0.5</v>
      </c>
      <c r="AB107" s="1019"/>
      <c r="AC107" s="1035">
        <f>TUD_i_TSS.PP*(-TUD_Y_PO.AN)+TUD_i_TSS.PHA*TUD_Y_SA.AN+TUD_i_TSS.GLY*(1-TUD_Y_SA.AN)</f>
        <v>-0.6504999999999999</v>
      </c>
      <c r="AD107" s="989"/>
      <c r="AE107" s="1027">
        <f t="shared" si="0"/>
        <v>0</v>
      </c>
      <c r="AF107" s="1028">
        <f t="shared" si="0"/>
        <v>0</v>
      </c>
      <c r="AG107" s="1029">
        <f t="shared" si="0"/>
        <v>0</v>
      </c>
      <c r="AH107" s="1028">
        <f t="shared" si="0"/>
        <v>0</v>
      </c>
      <c r="AI107" s="1030">
        <f t="shared" si="0"/>
        <v>0</v>
      </c>
      <c r="AJ107" s="12"/>
      <c r="AK107" s="12"/>
    </row>
    <row r="108" spans="1:37" ht="19.5">
      <c r="A108" s="12"/>
      <c r="B108" s="1419"/>
      <c r="C108" s="423" t="s">
        <v>1083</v>
      </c>
      <c r="D108" s="1034" t="s">
        <v>1001</v>
      </c>
      <c r="E108" s="1004" t="s">
        <v>1884</v>
      </c>
      <c r="F108" s="733" t="s">
        <v>1084</v>
      </c>
      <c r="G108" s="781">
        <v>0.5</v>
      </c>
      <c r="H108" s="12"/>
      <c r="I108" s="12"/>
      <c r="J108" s="1017" t="s">
        <v>2502</v>
      </c>
      <c r="K108" s="1018" t="s">
        <v>2229</v>
      </c>
      <c r="L108" s="1032"/>
      <c r="M108" s="1019"/>
      <c r="N108" s="1019"/>
      <c r="O108" s="1019"/>
      <c r="P108" s="1019"/>
      <c r="Q108" s="1019"/>
      <c r="R108" s="1019">
        <v>1</v>
      </c>
      <c r="S108" s="1019"/>
      <c r="T108" s="1021">
        <f>TUD_i_Charge_PO4-TUD_i_Charge_XPAO.PP</f>
        <v>-0.016129032258064516</v>
      </c>
      <c r="U108" s="1019"/>
      <c r="V108" s="1019"/>
      <c r="W108" s="1019"/>
      <c r="X108" s="1019"/>
      <c r="Y108" s="1019">
        <v>-1</v>
      </c>
      <c r="Z108" s="1019"/>
      <c r="AA108" s="1019"/>
      <c r="AB108" s="1019"/>
      <c r="AC108" s="1035">
        <f>-TUD_i_TSS.PP</f>
        <v>-3.23</v>
      </c>
      <c r="AD108" s="989"/>
      <c r="AE108" s="1027">
        <f aca="true" t="shared" si="1" ref="AE108:AI119">AE$79*$L108+AE$80*$M108+AE$81*$N108+AE$82*$O108+AE$83*$P108+AE$84*$Q108+AE$85*$R108+AE$86*$S108+AE$87*$T108+AE$88*$U108+AE$89*$V108+AE$90*$W108+AE$91*$X108+AE$92*$Y108+AE$93*$Z108+AE$94*$AA108+AE$95*$AB108+AE$96*$AC108</f>
        <v>0</v>
      </c>
      <c r="AF108" s="1028">
        <f t="shared" si="1"/>
        <v>0</v>
      </c>
      <c r="AG108" s="1029">
        <f t="shared" si="1"/>
        <v>0</v>
      </c>
      <c r="AH108" s="1028">
        <f t="shared" si="1"/>
        <v>0</v>
      </c>
      <c r="AI108" s="1030">
        <f t="shared" si="1"/>
        <v>0</v>
      </c>
      <c r="AJ108" s="12"/>
      <c r="AK108" s="12"/>
    </row>
    <row r="109" spans="1:37" ht="19.5">
      <c r="A109" s="12"/>
      <c r="B109" s="1419"/>
      <c r="C109" s="423" t="s">
        <v>1091</v>
      </c>
      <c r="D109" s="1034" t="s">
        <v>1002</v>
      </c>
      <c r="E109" s="1004" t="s">
        <v>1885</v>
      </c>
      <c r="F109" s="733" t="s">
        <v>1092</v>
      </c>
      <c r="G109" s="781">
        <v>0.05</v>
      </c>
      <c r="H109" s="12"/>
      <c r="I109" s="12"/>
      <c r="J109" s="1017" t="s">
        <v>2082</v>
      </c>
      <c r="K109" s="1018" t="s">
        <v>758</v>
      </c>
      <c r="L109" s="1032"/>
      <c r="M109" s="1019"/>
      <c r="N109" s="1019">
        <v>-1</v>
      </c>
      <c r="O109" s="1019"/>
      <c r="P109" s="1032">
        <f>-(1-TUD_Y_SA.NO)/TUD_i_NOx.N2</f>
        <v>-0.1015</v>
      </c>
      <c r="Q109" s="1032">
        <f>(1-TUD_Y_SA.NO)/TUD_i_NOx.N2</f>
        <v>0.1015</v>
      </c>
      <c r="R109" s="1019">
        <f>TUD_Y_PO.NO</f>
        <v>0.23</v>
      </c>
      <c r="S109" s="1019"/>
      <c r="T109" s="1021">
        <f>TUD_v_12_SPO*TUD_i_Charge_PO4-TUD_i_Charge_Ac+TUD_v_12_XPP*TUD_i_Charge_XPAO.PP+TUD_v_12_SNO*TUD_i_Charge_NOx</f>
        <v>0.019165322580645162</v>
      </c>
      <c r="U109" s="1019"/>
      <c r="V109" s="1019"/>
      <c r="W109" s="1019"/>
      <c r="X109" s="1019"/>
      <c r="Y109" s="1019">
        <f>-TUD_Y_PO.NO</f>
        <v>-0.23</v>
      </c>
      <c r="Z109" s="1019">
        <f>TUD_Y_SA.NO</f>
        <v>0.71</v>
      </c>
      <c r="AA109" s="1019"/>
      <c r="AB109" s="1019"/>
      <c r="AC109" s="1035">
        <f>TUD_i_TSS.PP*(-TUD_Y_PO.NO)+TUD_i_TSS.PHA*TUD_Y_SA.NO</f>
        <v>-0.3169</v>
      </c>
      <c r="AD109" s="989"/>
      <c r="AE109" s="1027">
        <f t="shared" si="1"/>
        <v>-1.1102230246251565E-16</v>
      </c>
      <c r="AF109" s="1028">
        <f t="shared" si="1"/>
        <v>0</v>
      </c>
      <c r="AG109" s="1029">
        <f t="shared" si="1"/>
        <v>0</v>
      </c>
      <c r="AH109" s="1028">
        <f t="shared" si="1"/>
        <v>-1.734723475976807E-18</v>
      </c>
      <c r="AI109" s="1030">
        <f t="shared" si="1"/>
        <v>0</v>
      </c>
      <c r="AJ109" s="12"/>
      <c r="AK109" s="12"/>
    </row>
    <row r="110" spans="1:37" ht="19.5">
      <c r="A110" s="12"/>
      <c r="B110" s="1419"/>
      <c r="C110" s="423" t="s">
        <v>1364</v>
      </c>
      <c r="D110" s="425" t="s">
        <v>1886</v>
      </c>
      <c r="E110" s="1004" t="s">
        <v>1887</v>
      </c>
      <c r="F110" s="733" t="s">
        <v>1340</v>
      </c>
      <c r="G110" s="781">
        <v>1</v>
      </c>
      <c r="H110" s="12"/>
      <c r="I110" s="12"/>
      <c r="J110" s="1017" t="s">
        <v>2234</v>
      </c>
      <c r="K110" s="1018" t="s">
        <v>2235</v>
      </c>
      <c r="L110" s="1032"/>
      <c r="M110" s="1019"/>
      <c r="N110" s="1019"/>
      <c r="O110" s="1021">
        <f>-TUD_i_N.BM/TUD_Y_PHA.NO</f>
        <v>-0.040697674418604654</v>
      </c>
      <c r="P110" s="1032">
        <f>-(1-1/TUD_Y_PHA.NO)/TUD_i_NOx.N2</f>
        <v>-0.14651162790697672</v>
      </c>
      <c r="Q110" s="1032">
        <f>(1-1/TUD_Y_PHA.NO)/TUD_i_NOx.N2</f>
        <v>0.14651162790697672</v>
      </c>
      <c r="R110" s="1021">
        <f>-TUD_i_P.BM/TUD_Y_PHA.NO</f>
        <v>-0.011627906976744186</v>
      </c>
      <c r="S110" s="1019"/>
      <c r="T110" s="1021">
        <f>TUD_v_13_SNH*TUD_i_Charge_NHx+TUD_v_13_SPO*TUD_i_Charge_PO4+TUD_v_13_SNO*TUD_i_Charge_NOx</f>
        <v>0.00812078019504876</v>
      </c>
      <c r="U110" s="1019"/>
      <c r="V110" s="1019"/>
      <c r="W110" s="1019"/>
      <c r="X110" s="1032">
        <f>1/TUD_Y_PHA.NO</f>
        <v>0.5813953488372093</v>
      </c>
      <c r="Y110" s="1019"/>
      <c r="Z110" s="1019">
        <v>-1</v>
      </c>
      <c r="AA110" s="1019"/>
      <c r="AB110" s="1019"/>
      <c r="AC110" s="1035">
        <f>TUD_i_TSS.BM/TUD_Y_PHA.NO-TUD_i_TSS.PHA</f>
        <v>-0.07674418604651156</v>
      </c>
      <c r="AD110" s="989"/>
      <c r="AE110" s="1027">
        <f t="shared" si="1"/>
        <v>0</v>
      </c>
      <c r="AF110" s="1028">
        <f t="shared" si="1"/>
        <v>1.3877787807814457E-17</v>
      </c>
      <c r="AG110" s="1029">
        <f t="shared" si="1"/>
        <v>1.734723475976807E-18</v>
      </c>
      <c r="AH110" s="1028">
        <f t="shared" si="1"/>
        <v>0</v>
      </c>
      <c r="AI110" s="1030">
        <f t="shared" si="1"/>
        <v>0</v>
      </c>
      <c r="AJ110" s="12"/>
      <c r="AK110" s="12"/>
    </row>
    <row r="111" spans="1:37" ht="19.5">
      <c r="A111" s="12"/>
      <c r="B111" s="1419"/>
      <c r="C111" s="423" t="s">
        <v>1365</v>
      </c>
      <c r="D111" s="1034" t="s">
        <v>1366</v>
      </c>
      <c r="E111" s="1004" t="s">
        <v>1888</v>
      </c>
      <c r="F111" s="733" t="s">
        <v>1340</v>
      </c>
      <c r="G111" s="781">
        <v>0.02</v>
      </c>
      <c r="H111" s="12"/>
      <c r="I111" s="12"/>
      <c r="J111" s="1017" t="s">
        <v>2237</v>
      </c>
      <c r="K111" s="1018" t="s">
        <v>773</v>
      </c>
      <c r="L111" s="1032"/>
      <c r="M111" s="1019"/>
      <c r="N111" s="1019"/>
      <c r="O111" s="1021">
        <f>TUD_i_N.BM/TUD_Y_PP.NO</f>
        <v>0.023178807947019868</v>
      </c>
      <c r="P111" s="1032">
        <f>-(1/TUD_Y_PP.NO)/TUD_i_NOx.N2</f>
        <v>-0.11589403973509935</v>
      </c>
      <c r="Q111" s="1032">
        <f>(1/TUD_Y_PP.NO)/TUD_i_NOx.N2</f>
        <v>0.11589403973509935</v>
      </c>
      <c r="R111" s="1021">
        <f>TUD_i_P.BM/TUD_Y_PP.NO-1</f>
        <v>-0.9933774834437086</v>
      </c>
      <c r="S111" s="1019"/>
      <c r="T111" s="1021">
        <f>TUD_v_14_SNH*TUD_i_Charge_NHx+TUD_v_14_SPO*TUD_i_Charge_PO4+TUD_v_14_SNO*TUD_i_Charge_NOx+TUD_i_Charge_XPAO.PP</f>
        <v>0.02574236274300363</v>
      </c>
      <c r="U111" s="1019"/>
      <c r="V111" s="1019"/>
      <c r="W111" s="1019"/>
      <c r="X111" s="1032">
        <f>-1/TUD_Y_PP.NO</f>
        <v>-0.33112582781456956</v>
      </c>
      <c r="Y111" s="1019" t="s">
        <v>2467</v>
      </c>
      <c r="Z111" s="1019"/>
      <c r="AA111" s="1019"/>
      <c r="AB111" s="1019"/>
      <c r="AC111" s="1035">
        <f>-TUD_i_TSS.BM/TUD_Y_PP.NO+TUD_i_TSS.PP</f>
        <v>2.9319867549668874</v>
      </c>
      <c r="AD111" s="989"/>
      <c r="AE111" s="1027">
        <f t="shared" si="1"/>
        <v>0</v>
      </c>
      <c r="AF111" s="1028">
        <f t="shared" si="1"/>
        <v>3.469446951953614E-18</v>
      </c>
      <c r="AG111" s="1029">
        <f t="shared" si="1"/>
        <v>0</v>
      </c>
      <c r="AH111" s="1028">
        <f t="shared" si="1"/>
        <v>0</v>
      </c>
      <c r="AI111" s="1030">
        <f t="shared" si="1"/>
        <v>0</v>
      </c>
      <c r="AJ111" s="12"/>
      <c r="AK111" s="12"/>
    </row>
    <row r="112" spans="1:37" ht="19.5">
      <c r="A112" s="12"/>
      <c r="B112" s="1419"/>
      <c r="C112" s="423" t="s">
        <v>1003</v>
      </c>
      <c r="D112" s="425" t="s">
        <v>2639</v>
      </c>
      <c r="E112" s="1004" t="s">
        <v>1889</v>
      </c>
      <c r="F112" s="733" t="s">
        <v>1004</v>
      </c>
      <c r="G112" s="781">
        <v>0.01</v>
      </c>
      <c r="H112" s="12"/>
      <c r="I112" s="12"/>
      <c r="J112" s="1017" t="s">
        <v>2241</v>
      </c>
      <c r="K112" s="1018" t="s">
        <v>2242</v>
      </c>
      <c r="L112" s="1032"/>
      <c r="M112" s="1019"/>
      <c r="N112" s="1019"/>
      <c r="O112" s="1021">
        <f>TUD_i_N.BM/TUD_Y_GLY.NO</f>
        <v>0.05932203389830509</v>
      </c>
      <c r="P112" s="1032">
        <f>-(1/TUD_Y_GLY.NO-1)/TUD_i_NOx.N2</f>
        <v>0.053389830508474546</v>
      </c>
      <c r="Q112" s="1032">
        <f>(1/TUD_Y_GLY.NO-1)/TUD_i_NOx.N2</f>
        <v>-0.053389830508474546</v>
      </c>
      <c r="R112" s="1021">
        <f>TUD_i_P.BM/TUD_Y_GLY.NO</f>
        <v>0.01694915254237288</v>
      </c>
      <c r="S112" s="1019"/>
      <c r="T112" s="1021">
        <f>TUD_v_15_SNH*TUD_i_Charge_NHx+TUD_v_15_SPO*TUD_i_Charge_PO4+TUD_v_15_SNO*TUD_i_Charge_NOx</f>
        <v>-0.0003963914707490407</v>
      </c>
      <c r="U112" s="1019"/>
      <c r="V112" s="1019"/>
      <c r="W112" s="1019"/>
      <c r="X112" s="1032">
        <f>-1/TUD_Y_GLY.NO</f>
        <v>-0.8474576271186441</v>
      </c>
      <c r="Y112" s="1019"/>
      <c r="Z112" s="1019"/>
      <c r="AA112" s="1019">
        <v>1</v>
      </c>
      <c r="AB112" s="1019"/>
      <c r="AC112" s="1035">
        <f>-TUD_i_TSS.BM/TUD_Y_GLY.NO+TUD_i_TSS.GLY</f>
        <v>0.07728813559322023</v>
      </c>
      <c r="AD112" s="989"/>
      <c r="AE112" s="1027">
        <f t="shared" si="1"/>
        <v>0</v>
      </c>
      <c r="AF112" s="1028">
        <f t="shared" si="1"/>
        <v>-6.938893903907228E-18</v>
      </c>
      <c r="AG112" s="1029">
        <f t="shared" si="1"/>
        <v>-3.469446951953614E-18</v>
      </c>
      <c r="AH112" s="1028">
        <f t="shared" si="1"/>
        <v>0</v>
      </c>
      <c r="AI112" s="1030">
        <f t="shared" si="1"/>
        <v>0</v>
      </c>
      <c r="AJ112" s="12"/>
      <c r="AK112" s="12"/>
    </row>
    <row r="113" spans="1:37" ht="19.5">
      <c r="A113" s="12"/>
      <c r="B113" s="1419"/>
      <c r="C113" s="423" t="s">
        <v>1005</v>
      </c>
      <c r="D113" s="425" t="s">
        <v>2649</v>
      </c>
      <c r="E113" s="1004" t="s">
        <v>1890</v>
      </c>
      <c r="F113" s="733" t="s">
        <v>1006</v>
      </c>
      <c r="G113" s="781">
        <v>0.01</v>
      </c>
      <c r="H113" s="12"/>
      <c r="I113" s="12"/>
      <c r="J113" s="1017" t="s">
        <v>2244</v>
      </c>
      <c r="K113" s="1018" t="s">
        <v>2245</v>
      </c>
      <c r="L113" s="1032"/>
      <c r="M113" s="1019"/>
      <c r="N113" s="1019"/>
      <c r="O113" s="1021">
        <f>TUD_i_N.BM</f>
        <v>0.07</v>
      </c>
      <c r="P113" s="1032">
        <f>-1/TUD_i_NOx.N2</f>
        <v>-0.35</v>
      </c>
      <c r="Q113" s="1032">
        <f>1/TUD_i_NOx.N2</f>
        <v>0.35</v>
      </c>
      <c r="R113" s="1021">
        <f>TUD_i_P.BM</f>
        <v>0.02</v>
      </c>
      <c r="S113" s="1019"/>
      <c r="T113" s="1021">
        <f>TUD_v_16_SNH*TUD_i_Charge_NHx+TUD_v_16_SPO*TUD_i_Charge_PO4+TUD_v_16_SNO*TUD_i_Charge_NOx</f>
        <v>0.029032258064516127</v>
      </c>
      <c r="U113" s="1019"/>
      <c r="V113" s="1019"/>
      <c r="W113" s="1019"/>
      <c r="X113" s="1019">
        <v>-1</v>
      </c>
      <c r="Y113" s="1019"/>
      <c r="Z113" s="1019"/>
      <c r="AA113" s="1019"/>
      <c r="AB113" s="1019"/>
      <c r="AC113" s="1035">
        <f>-TUD_i_TSS.BM</f>
        <v>-0.9</v>
      </c>
      <c r="AD113" s="989"/>
      <c r="AE113" s="1027">
        <f t="shared" si="1"/>
        <v>-1.1102230246251565E-16</v>
      </c>
      <c r="AF113" s="1028">
        <f t="shared" si="1"/>
        <v>0</v>
      </c>
      <c r="AG113" s="1029">
        <f t="shared" si="1"/>
        <v>0</v>
      </c>
      <c r="AH113" s="1028">
        <f t="shared" si="1"/>
        <v>0</v>
      </c>
      <c r="AI113" s="1030">
        <f t="shared" si="1"/>
        <v>0</v>
      </c>
      <c r="AJ113" s="12"/>
      <c r="AK113" s="12"/>
    </row>
    <row r="114" spans="1:37" ht="19.5">
      <c r="A114" s="12"/>
      <c r="B114" s="1419"/>
      <c r="C114" s="1011" t="s">
        <v>1007</v>
      </c>
      <c r="D114" s="337" t="s">
        <v>1891</v>
      </c>
      <c r="E114" s="1004" t="s">
        <v>1892</v>
      </c>
      <c r="F114" s="733" t="s">
        <v>1008</v>
      </c>
      <c r="G114" s="781">
        <v>0.01</v>
      </c>
      <c r="H114" s="12"/>
      <c r="I114" s="12"/>
      <c r="J114" s="1017" t="s">
        <v>2247</v>
      </c>
      <c r="K114" s="1018" t="s">
        <v>2248</v>
      </c>
      <c r="L114" s="1032">
        <f>-1+1/TUD_Y_PHA.O</f>
        <v>-0.28057553956834524</v>
      </c>
      <c r="M114" s="1019"/>
      <c r="N114" s="1019"/>
      <c r="O114" s="1021">
        <f>-TUD_i_N.BM/TUD_Y_PHA.O</f>
        <v>-0.05035971223021583</v>
      </c>
      <c r="P114" s="1019"/>
      <c r="Q114" s="1019"/>
      <c r="R114" s="1021">
        <f>-TUD_i_P.BM/TUD_Y_PHA.O</f>
        <v>-0.014388489208633094</v>
      </c>
      <c r="S114" s="1019"/>
      <c r="T114" s="1021">
        <f>TUD_v_17_SNH*TUD_i_Charge_NHx+TUD_v_17_SPO*TUD_i_Charge_PO4</f>
        <v>-0.0029009050823857047</v>
      </c>
      <c r="U114" s="1019"/>
      <c r="V114" s="1019"/>
      <c r="W114" s="1019"/>
      <c r="X114" s="1032">
        <f>1/TUD_Y_PHA.O</f>
        <v>0.7194244604316548</v>
      </c>
      <c r="Y114" s="1019"/>
      <c r="Z114" s="1019">
        <v>-1</v>
      </c>
      <c r="AA114" s="1019"/>
      <c r="AB114" s="1019"/>
      <c r="AC114" s="1035">
        <f>TUD_i_TSS.BM/TUD_Y_PHA.O-TUD_i_TSS.PHA</f>
        <v>0.04748201438848931</v>
      </c>
      <c r="AD114" s="989"/>
      <c r="AE114" s="1027">
        <f t="shared" si="1"/>
        <v>0</v>
      </c>
      <c r="AF114" s="1028">
        <f t="shared" si="1"/>
        <v>6.938893903907228E-18</v>
      </c>
      <c r="AG114" s="1029">
        <f t="shared" si="1"/>
        <v>1.734723475976807E-18</v>
      </c>
      <c r="AH114" s="1028">
        <f t="shared" si="1"/>
        <v>0</v>
      </c>
      <c r="AI114" s="1030">
        <f t="shared" si="1"/>
        <v>0</v>
      </c>
      <c r="AJ114" s="12"/>
      <c r="AK114" s="12"/>
    </row>
    <row r="115" spans="1:37" ht="19.5">
      <c r="A115" s="12"/>
      <c r="B115" s="1419"/>
      <c r="C115" s="423" t="s">
        <v>1341</v>
      </c>
      <c r="D115" s="1034" t="s">
        <v>1009</v>
      </c>
      <c r="E115" s="1004" t="s">
        <v>1893</v>
      </c>
      <c r="F115" s="733" t="s">
        <v>1343</v>
      </c>
      <c r="G115" s="781">
        <v>0.01</v>
      </c>
      <c r="H115" s="12"/>
      <c r="I115" s="12"/>
      <c r="J115" s="1017" t="s">
        <v>2250</v>
      </c>
      <c r="K115" s="1018" t="s">
        <v>802</v>
      </c>
      <c r="L115" s="1032">
        <f>-1/TUD_Y_PP.O</f>
        <v>-0.22624434389140272</v>
      </c>
      <c r="M115" s="1019"/>
      <c r="N115" s="1019"/>
      <c r="O115" s="1021">
        <f>TUD_i_N.BM/TUD_Y_PP.O</f>
        <v>0.015837104072398193</v>
      </c>
      <c r="P115" s="1019"/>
      <c r="Q115" s="1019"/>
      <c r="R115" s="1021">
        <f>TUD_i_P.BM/TUD_Y_PP.O-1</f>
        <v>-0.995475113122172</v>
      </c>
      <c r="S115" s="1019"/>
      <c r="T115" s="1021">
        <f>TUD_v_18_SNH*TUD_i_Charge_NHx+TUD_v_18_SPO*TUD_i_Charge_PO4+TUD_i_Charge_XPAO.PP</f>
        <v>0.01704130783827179</v>
      </c>
      <c r="U115" s="1019"/>
      <c r="V115" s="1019"/>
      <c r="W115" s="1019"/>
      <c r="X115" s="1032">
        <f>-1/TUD_Y_PP.O</f>
        <v>-0.22624434389140272</v>
      </c>
      <c r="Y115" s="1019" t="s">
        <v>2467</v>
      </c>
      <c r="Z115" s="1019"/>
      <c r="AA115" s="1019"/>
      <c r="AB115" s="1019"/>
      <c r="AC115" s="1035">
        <f>-TUD_i_TSS.BM/TUD_Y_PP.O+TUD_i_TSS.PP</f>
        <v>3.0263800904977374</v>
      </c>
      <c r="AD115" s="989"/>
      <c r="AE115" s="1027">
        <f t="shared" si="1"/>
        <v>0</v>
      </c>
      <c r="AF115" s="1028">
        <f t="shared" si="1"/>
        <v>0</v>
      </c>
      <c r="AG115" s="1029">
        <f t="shared" si="1"/>
        <v>0</v>
      </c>
      <c r="AH115" s="1028">
        <f t="shared" si="1"/>
        <v>0</v>
      </c>
      <c r="AI115" s="1030">
        <f t="shared" si="1"/>
        <v>0</v>
      </c>
      <c r="AJ115" s="12"/>
      <c r="AK115" s="12"/>
    </row>
    <row r="116" spans="1:37" ht="19.5">
      <c r="A116" s="12"/>
      <c r="B116" s="1419"/>
      <c r="C116" s="455" t="s">
        <v>1086</v>
      </c>
      <c r="D116" s="152" t="s">
        <v>2410</v>
      </c>
      <c r="E116" s="1036" t="s">
        <v>1894</v>
      </c>
      <c r="F116" s="805" t="s">
        <v>1077</v>
      </c>
      <c r="G116" s="94">
        <v>1</v>
      </c>
      <c r="H116" s="12"/>
      <c r="I116" s="12"/>
      <c r="J116" s="1017" t="s">
        <v>2252</v>
      </c>
      <c r="K116" s="1018" t="s">
        <v>2253</v>
      </c>
      <c r="L116" s="1032">
        <f>-(1-TUD_Y_GLY.O)/TUD_Y_GLY.O</f>
        <v>0.09909909909909918</v>
      </c>
      <c r="M116" s="1019"/>
      <c r="N116" s="1019"/>
      <c r="O116" s="1021">
        <f>TUD_i_N.BM/TUD_Y_GLY.O</f>
        <v>0.06306306306306306</v>
      </c>
      <c r="P116" s="1019"/>
      <c r="Q116" s="1019"/>
      <c r="R116" s="1021">
        <f>TUD_i_P.BM/TUD_Y_GLY.O</f>
        <v>0.018018018018018018</v>
      </c>
      <c r="S116" s="1019"/>
      <c r="T116" s="1021">
        <f>TUD_v_19_SNH*TUD_i_Charge_NHx+TUD_v_19_SPO*TUD_i_Charge_PO4</f>
        <v>0.0036326649229875027</v>
      </c>
      <c r="U116" s="1019"/>
      <c r="V116" s="1019"/>
      <c r="W116" s="1019"/>
      <c r="X116" s="1032">
        <f>-1/TUD_Y_GLY.O</f>
        <v>-0.9009009009009008</v>
      </c>
      <c r="Y116" s="1019"/>
      <c r="Z116" s="1019"/>
      <c r="AA116" s="1019">
        <v>1</v>
      </c>
      <c r="AB116" s="1019"/>
      <c r="AC116" s="1035">
        <f>-TUD_i_TSS.BM/TUD_Y_GLY.O+TUD_i_TSS.GLY</f>
        <v>0.029189189189189224</v>
      </c>
      <c r="AD116" s="989"/>
      <c r="AE116" s="1027">
        <f t="shared" si="1"/>
        <v>0</v>
      </c>
      <c r="AF116" s="1028">
        <f t="shared" si="1"/>
        <v>0</v>
      </c>
      <c r="AG116" s="1029">
        <f t="shared" si="1"/>
        <v>0</v>
      </c>
      <c r="AH116" s="1028">
        <f t="shared" si="1"/>
        <v>0</v>
      </c>
      <c r="AI116" s="1030">
        <f t="shared" si="1"/>
        <v>0</v>
      </c>
      <c r="AJ116" s="12"/>
      <c r="AK116" s="12"/>
    </row>
    <row r="117" spans="1:37" ht="19.5">
      <c r="A117" s="12"/>
      <c r="B117" s="1419"/>
      <c r="C117" s="608" t="s">
        <v>1087</v>
      </c>
      <c r="D117" s="152" t="s">
        <v>2412</v>
      </c>
      <c r="E117" s="1037" t="s">
        <v>1895</v>
      </c>
      <c r="F117" s="814" t="s">
        <v>1077</v>
      </c>
      <c r="G117" s="94">
        <v>0.15</v>
      </c>
      <c r="H117" s="12"/>
      <c r="I117" s="12"/>
      <c r="J117" s="1017" t="s">
        <v>2254</v>
      </c>
      <c r="K117" s="1018" t="s">
        <v>2255</v>
      </c>
      <c r="L117" s="1032">
        <v>-1</v>
      </c>
      <c r="M117" s="1019"/>
      <c r="N117" s="1019"/>
      <c r="O117" s="1019">
        <f>TUD_i_N.BM</f>
        <v>0.07</v>
      </c>
      <c r="P117" s="1019"/>
      <c r="Q117" s="1019"/>
      <c r="R117" s="1019">
        <f>TUD_i_P.BM</f>
        <v>0.02</v>
      </c>
      <c r="S117" s="1019"/>
      <c r="T117" s="1021">
        <f>TUD_v_20_SNH*TUD_i_Charge_NHx+TUD_v_20_SPO*TUD_i_Charge_PO4</f>
        <v>0.004032258064516129</v>
      </c>
      <c r="U117" s="1019"/>
      <c r="V117" s="1019"/>
      <c r="W117" s="1019"/>
      <c r="X117" s="1019">
        <v>-1</v>
      </c>
      <c r="Y117" s="1019"/>
      <c r="Z117" s="1019"/>
      <c r="AA117" s="1019"/>
      <c r="AB117" s="1019"/>
      <c r="AC117" s="1035">
        <f>-TUD_i_TSS.BM</f>
        <v>-0.9</v>
      </c>
      <c r="AD117" s="989"/>
      <c r="AE117" s="1027">
        <f t="shared" si="1"/>
        <v>0</v>
      </c>
      <c r="AF117" s="1028">
        <f t="shared" si="1"/>
        <v>0</v>
      </c>
      <c r="AG117" s="1029">
        <f t="shared" si="1"/>
        <v>0</v>
      </c>
      <c r="AH117" s="1028">
        <f t="shared" si="1"/>
        <v>0</v>
      </c>
      <c r="AI117" s="1030">
        <f t="shared" si="1"/>
        <v>0</v>
      </c>
      <c r="AJ117" s="12"/>
      <c r="AK117" s="12"/>
    </row>
    <row r="118" spans="1:37" ht="19.5">
      <c r="A118" s="12"/>
      <c r="B118" s="1419"/>
      <c r="C118" s="150" t="s">
        <v>1081</v>
      </c>
      <c r="D118" s="1038" t="s">
        <v>1010</v>
      </c>
      <c r="E118" s="954" t="s">
        <v>1896</v>
      </c>
      <c r="F118" s="94" t="s">
        <v>1082</v>
      </c>
      <c r="G118" s="805">
        <v>0.5</v>
      </c>
      <c r="H118" s="12"/>
      <c r="I118" s="12"/>
      <c r="J118" s="1017" t="s">
        <v>2258</v>
      </c>
      <c r="K118" s="1018" t="s">
        <v>818</v>
      </c>
      <c r="L118" s="1032">
        <f>-(-TUD_i_COD_NOx-TUD_Y_A)/TUD_Y_A</f>
        <v>-18.047619047619047</v>
      </c>
      <c r="M118" s="1019"/>
      <c r="N118" s="1019"/>
      <c r="O118" s="1032">
        <f>-TUD_i_N.BM-1/TUD_Y_A</f>
        <v>-4.236666666666667</v>
      </c>
      <c r="P118" s="1032">
        <f>1/TUD_Y_A</f>
        <v>4.166666666666667</v>
      </c>
      <c r="Q118" s="1019"/>
      <c r="R118" s="1019">
        <f>-TUD_i_P.BM</f>
        <v>-0.02</v>
      </c>
      <c r="S118" s="1019"/>
      <c r="T118" s="1021">
        <f>TUD_v_21_SNH*TUD_i_Charge_NHx+TUD_v_21_SPO*TUD_i_Charge_PO4+TUD_v_21_SNO*TUD_i_Charge_NOx</f>
        <v>-0.5992703533026114</v>
      </c>
      <c r="U118" s="1019"/>
      <c r="V118" s="1019"/>
      <c r="W118" s="1019"/>
      <c r="X118" s="1019"/>
      <c r="Y118" s="1019"/>
      <c r="Z118" s="1019"/>
      <c r="AA118" s="1019"/>
      <c r="AB118" s="1019" t="s">
        <v>2467</v>
      </c>
      <c r="AC118" s="1022">
        <f>TUD_i_TSS.BM</f>
        <v>0.9</v>
      </c>
      <c r="AD118" s="989"/>
      <c r="AE118" s="1027">
        <f t="shared" si="1"/>
        <v>0</v>
      </c>
      <c r="AF118" s="1028">
        <f t="shared" si="1"/>
        <v>-2.7755575615628914E-16</v>
      </c>
      <c r="AG118" s="1029">
        <f t="shared" si="1"/>
        <v>0</v>
      </c>
      <c r="AH118" s="1028">
        <f t="shared" si="1"/>
        <v>0</v>
      </c>
      <c r="AI118" s="1030">
        <f t="shared" si="1"/>
        <v>0</v>
      </c>
      <c r="AJ118" s="12"/>
      <c r="AK118" s="12"/>
    </row>
    <row r="119" spans="1:37" ht="20.25" thickBot="1">
      <c r="A119" s="12"/>
      <c r="B119" s="1419"/>
      <c r="C119" s="461" t="s">
        <v>1091</v>
      </c>
      <c r="D119" s="1039" t="s">
        <v>1011</v>
      </c>
      <c r="E119" s="954" t="s">
        <v>1897</v>
      </c>
      <c r="F119" s="94" t="s">
        <v>1092</v>
      </c>
      <c r="G119" s="94">
        <v>1</v>
      </c>
      <c r="H119" s="12"/>
      <c r="I119" s="12"/>
      <c r="J119" s="1040" t="s">
        <v>1763</v>
      </c>
      <c r="K119" s="1041" t="s">
        <v>2494</v>
      </c>
      <c r="L119" s="1042"/>
      <c r="M119" s="1042"/>
      <c r="N119" s="1042"/>
      <c r="O119" s="1042">
        <f>TUD_i_N.BM-TUD_i_N.XI*TUD_f_XI.A-TUD_i_N.XS*(1-TUD_f_XI.A)</f>
        <v>0.04000000000000001</v>
      </c>
      <c r="P119" s="1042"/>
      <c r="Q119" s="1042"/>
      <c r="R119" s="1042">
        <f>TUD_i_P.BM-TUD_i_P.XI*TUD_f_XI.A-TUD_i_P.XS*(1-TUD_f_XI.A)</f>
        <v>0.009999999999999998</v>
      </c>
      <c r="S119" s="1042"/>
      <c r="T119" s="1043">
        <f>TUD_v_22_SNH*TUD_i_Charge_NHx+TUD_v_22_SPO*TUD_i_Charge_PO4</f>
        <v>0.0023732718894009224</v>
      </c>
      <c r="U119" s="1042">
        <f>TUD_f_XI.A</f>
        <v>0.1</v>
      </c>
      <c r="V119" s="1042">
        <f>1-TUD_f_XI.A</f>
        <v>0.9</v>
      </c>
      <c r="W119" s="1042"/>
      <c r="X119" s="1042"/>
      <c r="Y119" s="1042"/>
      <c r="Z119" s="1042"/>
      <c r="AA119" s="1042"/>
      <c r="AB119" s="1042" t="s">
        <v>2488</v>
      </c>
      <c r="AC119" s="1044">
        <f>TUD_i_TSS.XI*TUD_f_XI.A+TUD_i_TSS.XS*(1-TUD_f_XI.A)-TUD_i_TSS.BM</f>
        <v>-0.15000000000000002</v>
      </c>
      <c r="AD119" s="989"/>
      <c r="AE119" s="1045">
        <f t="shared" si="1"/>
        <v>0</v>
      </c>
      <c r="AF119" s="1046">
        <f t="shared" si="1"/>
        <v>0</v>
      </c>
      <c r="AG119" s="1047">
        <f t="shared" si="1"/>
        <v>0</v>
      </c>
      <c r="AH119" s="1046">
        <f t="shared" si="1"/>
        <v>0</v>
      </c>
      <c r="AI119" s="1048">
        <f t="shared" si="1"/>
        <v>0</v>
      </c>
      <c r="AJ119" s="12"/>
      <c r="AK119" s="12"/>
    </row>
    <row r="120" spans="1:37" ht="19.5">
      <c r="A120" s="12"/>
      <c r="B120" s="1419"/>
      <c r="C120" s="461" t="s">
        <v>1338</v>
      </c>
      <c r="D120" s="1039" t="s">
        <v>1012</v>
      </c>
      <c r="E120" s="954" t="s">
        <v>1898</v>
      </c>
      <c r="F120" s="94" t="s">
        <v>1340</v>
      </c>
      <c r="G120" s="94">
        <v>0.01</v>
      </c>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row>
    <row r="121" spans="1:37" ht="20.25" thickBot="1">
      <c r="A121" s="12"/>
      <c r="B121" s="1420"/>
      <c r="C121" s="167" t="s">
        <v>1341</v>
      </c>
      <c r="D121" s="1049" t="s">
        <v>1013</v>
      </c>
      <c r="E121" s="1050" t="s">
        <v>1899</v>
      </c>
      <c r="F121" s="171" t="s">
        <v>1343</v>
      </c>
      <c r="G121" s="171">
        <v>0.5</v>
      </c>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row>
    <row r="122" spans="1:37" ht="30.75" thickBot="1">
      <c r="A122" s="12"/>
      <c r="B122" s="12"/>
      <c r="C122" s="12"/>
      <c r="D122" s="12"/>
      <c r="E122" s="12"/>
      <c r="F122" s="12"/>
      <c r="G122" s="870"/>
      <c r="H122" s="12"/>
      <c r="I122" s="12"/>
      <c r="J122" s="1331" t="s">
        <v>2421</v>
      </c>
      <c r="K122" s="1332"/>
      <c r="L122" s="1332"/>
      <c r="M122" s="1332"/>
      <c r="N122" s="1332"/>
      <c r="O122" s="1332"/>
      <c r="P122" s="1332"/>
      <c r="Q122" s="1332"/>
      <c r="R122" s="1332"/>
      <c r="S122" s="1332"/>
      <c r="T122" s="1332"/>
      <c r="U122" s="1332"/>
      <c r="V122" s="1332"/>
      <c r="W122" s="1332"/>
      <c r="X122" s="1332"/>
      <c r="Y122" s="1332"/>
      <c r="Z122" s="1332"/>
      <c r="AA122" s="1332"/>
      <c r="AB122" s="1332"/>
      <c r="AC122" s="1332"/>
      <c r="AD122" s="1332"/>
      <c r="AE122" s="1332"/>
      <c r="AF122" s="1332"/>
      <c r="AG122" s="1332"/>
      <c r="AH122" s="1332"/>
      <c r="AI122" s="1333"/>
      <c r="AJ122" s="12"/>
      <c r="AK122" s="12"/>
    </row>
    <row r="123" spans="1:37" ht="14.25">
      <c r="A123" s="12"/>
      <c r="B123" s="12"/>
      <c r="C123" s="12"/>
      <c r="D123" s="12"/>
      <c r="E123" s="12"/>
      <c r="F123" s="12"/>
      <c r="G123" s="870"/>
      <c r="H123" s="12"/>
      <c r="I123" s="12"/>
      <c r="J123" s="8"/>
      <c r="K123" s="8"/>
      <c r="L123" s="8"/>
      <c r="M123" s="8"/>
      <c r="N123" s="8"/>
      <c r="O123" s="8"/>
      <c r="P123" s="8"/>
      <c r="Q123" s="8"/>
      <c r="R123" s="8"/>
      <c r="S123" s="8"/>
      <c r="T123" s="8"/>
      <c r="U123" s="8"/>
      <c r="V123" s="8"/>
      <c r="W123" s="8"/>
      <c r="X123" s="8"/>
      <c r="Y123" s="9"/>
      <c r="Z123" s="9"/>
      <c r="AA123" s="9"/>
      <c r="AB123" s="9"/>
      <c r="AC123" s="9"/>
      <c r="AD123" s="12"/>
      <c r="AE123" s="12"/>
      <c r="AF123" s="12"/>
      <c r="AG123" s="12"/>
      <c r="AH123" s="12"/>
      <c r="AI123" s="12"/>
      <c r="AJ123" s="12"/>
      <c r="AK123" s="12"/>
    </row>
    <row r="124" spans="1:37" ht="18.75" thickBot="1">
      <c r="A124" s="12"/>
      <c r="B124" s="12"/>
      <c r="C124" s="12"/>
      <c r="D124" s="12"/>
      <c r="E124" s="12"/>
      <c r="F124" s="12"/>
      <c r="G124" s="870"/>
      <c r="H124" s="12"/>
      <c r="I124" s="12"/>
      <c r="J124" s="8"/>
      <c r="K124" s="8"/>
      <c r="L124" s="8"/>
      <c r="M124" s="1334" t="s">
        <v>2422</v>
      </c>
      <c r="N124" s="1334"/>
      <c r="O124" s="1334"/>
      <c r="P124" s="1334"/>
      <c r="Q124" s="1334"/>
      <c r="R124" s="1334"/>
      <c r="S124" s="1334" t="s">
        <v>2423</v>
      </c>
      <c r="T124" s="1334"/>
      <c r="U124" s="1334"/>
      <c r="V124" s="1334"/>
      <c r="W124" s="1334"/>
      <c r="X124" s="8"/>
      <c r="Y124" s="9"/>
      <c r="Z124" s="9"/>
      <c r="AA124" s="9"/>
      <c r="AB124" s="9"/>
      <c r="AC124" s="9"/>
      <c r="AD124" s="12"/>
      <c r="AE124" s="12"/>
      <c r="AF124" s="12"/>
      <c r="AG124" s="12"/>
      <c r="AH124" s="12"/>
      <c r="AI124" s="12"/>
      <c r="AJ124" s="12"/>
      <c r="AK124" s="12"/>
    </row>
    <row r="125" spans="1:37" ht="15" thickBot="1">
      <c r="A125" s="12"/>
      <c r="B125" s="12"/>
      <c r="C125" s="12"/>
      <c r="D125" s="12"/>
      <c r="E125" s="12"/>
      <c r="F125" s="12"/>
      <c r="G125" s="870"/>
      <c r="H125" s="12"/>
      <c r="I125" s="12"/>
      <c r="J125" s="8"/>
      <c r="K125" s="8"/>
      <c r="L125" s="221"/>
      <c r="M125" s="1328" t="s">
        <v>2424</v>
      </c>
      <c r="N125" s="1329"/>
      <c r="O125" s="1329"/>
      <c r="P125" s="1329"/>
      <c r="Q125" s="1329"/>
      <c r="R125" s="1329"/>
      <c r="S125" s="1329" t="s">
        <v>2425</v>
      </c>
      <c r="T125" s="1329"/>
      <c r="U125" s="1329"/>
      <c r="V125" s="1329"/>
      <c r="W125" s="1329"/>
      <c r="X125" s="8"/>
      <c r="Y125" s="9"/>
      <c r="Z125" s="9"/>
      <c r="AA125" s="9"/>
      <c r="AB125" s="9"/>
      <c r="AC125" s="9"/>
      <c r="AD125" s="12"/>
      <c r="AE125" s="12"/>
      <c r="AF125" s="12"/>
      <c r="AG125" s="12"/>
      <c r="AH125" s="12"/>
      <c r="AI125" s="12"/>
      <c r="AJ125" s="12"/>
      <c r="AK125" s="12"/>
    </row>
    <row r="126" spans="1:37" ht="15" thickBot="1">
      <c r="A126" s="12"/>
      <c r="B126" s="12"/>
      <c r="C126" s="12"/>
      <c r="D126" s="12"/>
      <c r="E126" s="12"/>
      <c r="F126" s="12"/>
      <c r="G126" s="870"/>
      <c r="H126" s="12"/>
      <c r="I126" s="12"/>
      <c r="J126" s="8"/>
      <c r="K126" s="8"/>
      <c r="L126" s="222"/>
      <c r="M126" s="1328" t="s">
        <v>2426</v>
      </c>
      <c r="N126" s="1329"/>
      <c r="O126" s="1329"/>
      <c r="P126" s="1329"/>
      <c r="Q126" s="1329"/>
      <c r="R126" s="1329"/>
      <c r="S126" s="1329" t="s">
        <v>2427</v>
      </c>
      <c r="T126" s="1329"/>
      <c r="U126" s="1329"/>
      <c r="V126" s="1329"/>
      <c r="W126" s="1329"/>
      <c r="X126" s="8"/>
      <c r="Y126" s="9"/>
      <c r="Z126" s="9"/>
      <c r="AA126" s="9"/>
      <c r="AB126" s="9"/>
      <c r="AC126" s="9"/>
      <c r="AD126" s="12"/>
      <c r="AE126" s="12"/>
      <c r="AF126" s="12"/>
      <c r="AG126" s="12"/>
      <c r="AH126" s="12"/>
      <c r="AI126" s="12"/>
      <c r="AJ126" s="12"/>
      <c r="AK126" s="12"/>
    </row>
    <row r="127" spans="1:37" ht="15" thickBot="1">
      <c r="A127" s="12"/>
      <c r="B127" s="12"/>
      <c r="C127" s="12"/>
      <c r="D127" s="12"/>
      <c r="E127" s="12"/>
      <c r="F127" s="12"/>
      <c r="G127" s="870"/>
      <c r="H127" s="12"/>
      <c r="I127" s="12"/>
      <c r="J127" s="8"/>
      <c r="K127" s="8"/>
      <c r="L127" s="223"/>
      <c r="M127" s="1328" t="s">
        <v>2428</v>
      </c>
      <c r="N127" s="1329"/>
      <c r="O127" s="1329"/>
      <c r="P127" s="1329"/>
      <c r="Q127" s="1329"/>
      <c r="R127" s="1329"/>
      <c r="S127" s="1329" t="s">
        <v>2425</v>
      </c>
      <c r="T127" s="1329"/>
      <c r="U127" s="1329"/>
      <c r="V127" s="1329"/>
      <c r="W127" s="1329"/>
      <c r="X127" s="8"/>
      <c r="Y127" s="9"/>
      <c r="Z127" s="9"/>
      <c r="AA127" s="9"/>
      <c r="AB127" s="9"/>
      <c r="AC127" s="9"/>
      <c r="AD127" s="12"/>
      <c r="AE127" s="12"/>
      <c r="AF127" s="12"/>
      <c r="AG127" s="12"/>
      <c r="AH127" s="12"/>
      <c r="AI127" s="12"/>
      <c r="AJ127" s="12"/>
      <c r="AK127" s="12"/>
    </row>
    <row r="128" spans="1:37" ht="15" thickBot="1">
      <c r="A128" s="12"/>
      <c r="B128" s="12"/>
      <c r="C128" s="12"/>
      <c r="D128" s="12"/>
      <c r="E128" s="12"/>
      <c r="F128" s="12"/>
      <c r="G128" s="870"/>
      <c r="H128" s="12"/>
      <c r="I128" s="12"/>
      <c r="J128" s="8"/>
      <c r="K128" s="8"/>
      <c r="L128" s="224"/>
      <c r="M128" s="1328" t="s">
        <v>2429</v>
      </c>
      <c r="N128" s="1329"/>
      <c r="O128" s="1329"/>
      <c r="P128" s="1329"/>
      <c r="Q128" s="1329"/>
      <c r="R128" s="1329"/>
      <c r="S128" s="1329" t="s">
        <v>2430</v>
      </c>
      <c r="T128" s="1329"/>
      <c r="U128" s="1329"/>
      <c r="V128" s="1329"/>
      <c r="W128" s="1329"/>
      <c r="X128" s="8"/>
      <c r="Y128" s="9"/>
      <c r="Z128" s="9"/>
      <c r="AA128" s="9"/>
      <c r="AB128" s="9"/>
      <c r="AC128" s="9"/>
      <c r="AD128" s="12"/>
      <c r="AE128" s="12"/>
      <c r="AF128" s="12"/>
      <c r="AG128" s="12"/>
      <c r="AH128" s="12"/>
      <c r="AI128" s="12"/>
      <c r="AJ128" s="12"/>
      <c r="AK128" s="12"/>
    </row>
    <row r="129" spans="1:37" ht="15" thickBot="1">
      <c r="A129" s="12"/>
      <c r="B129" s="12"/>
      <c r="C129" s="12"/>
      <c r="D129" s="12"/>
      <c r="E129" s="12"/>
      <c r="F129" s="12"/>
      <c r="G129" s="870"/>
      <c r="H129" s="12"/>
      <c r="I129" s="12"/>
      <c r="J129" s="8"/>
      <c r="K129" s="8"/>
      <c r="L129" s="8"/>
      <c r="M129" s="8"/>
      <c r="N129" s="8"/>
      <c r="O129" s="8"/>
      <c r="P129" s="8"/>
      <c r="Q129" s="8"/>
      <c r="R129" s="8"/>
      <c r="S129" s="8"/>
      <c r="T129" s="8"/>
      <c r="U129" s="8"/>
      <c r="V129" s="8"/>
      <c r="W129" s="8"/>
      <c r="X129" s="8"/>
      <c r="Y129" s="9"/>
      <c r="Z129" s="9"/>
      <c r="AA129" s="9"/>
      <c r="AB129" s="9"/>
      <c r="AC129" s="9"/>
      <c r="AD129" s="12"/>
      <c r="AE129" s="12"/>
      <c r="AF129" s="12"/>
      <c r="AG129" s="12"/>
      <c r="AH129" s="12"/>
      <c r="AI129" s="12"/>
      <c r="AJ129" s="12"/>
      <c r="AK129" s="12"/>
    </row>
    <row r="130" spans="1:37" ht="15">
      <c r="A130" s="12"/>
      <c r="B130" s="12"/>
      <c r="C130" s="12"/>
      <c r="D130" s="12"/>
      <c r="E130" s="12"/>
      <c r="F130" s="12"/>
      <c r="G130" s="870"/>
      <c r="H130" s="12"/>
      <c r="I130" s="12"/>
      <c r="J130" s="1051"/>
      <c r="K130" s="1052"/>
      <c r="L130" s="1052" t="s">
        <v>1900</v>
      </c>
      <c r="M130" s="1052" t="s">
        <v>1901</v>
      </c>
      <c r="N130" s="1052" t="s">
        <v>1902</v>
      </c>
      <c r="O130" s="1052" t="s">
        <v>1903</v>
      </c>
      <c r="P130" s="1052" t="s">
        <v>1904</v>
      </c>
      <c r="Q130" s="1052" t="s">
        <v>1905</v>
      </c>
      <c r="R130" s="1052" t="s">
        <v>1906</v>
      </c>
      <c r="S130" s="1052" t="s">
        <v>1907</v>
      </c>
      <c r="T130" s="1052" t="s">
        <v>1908</v>
      </c>
      <c r="U130" s="1052" t="s">
        <v>1909</v>
      </c>
      <c r="V130" s="1052" t="s">
        <v>1910</v>
      </c>
      <c r="W130" s="1052" t="s">
        <v>1911</v>
      </c>
      <c r="X130" s="1052" t="s">
        <v>1912</v>
      </c>
      <c r="Y130" s="1052" t="s">
        <v>1913</v>
      </c>
      <c r="Z130" s="1052" t="s">
        <v>1914</v>
      </c>
      <c r="AA130" s="1052" t="s">
        <v>1915</v>
      </c>
      <c r="AB130" s="1052" t="s">
        <v>1916</v>
      </c>
      <c r="AC130" s="1053" t="s">
        <v>1917</v>
      </c>
      <c r="AD130" s="12"/>
      <c r="AE130" s="12"/>
      <c r="AF130" s="12"/>
      <c r="AG130" s="12"/>
      <c r="AH130" s="12"/>
      <c r="AI130" s="12"/>
      <c r="AJ130" s="12"/>
      <c r="AK130" s="12"/>
    </row>
    <row r="131" spans="1:37" ht="15.75">
      <c r="A131" s="12"/>
      <c r="B131" s="12"/>
      <c r="C131" s="12"/>
      <c r="D131" s="12"/>
      <c r="E131" s="12"/>
      <c r="F131" s="12"/>
      <c r="G131" s="870"/>
      <c r="H131" s="12"/>
      <c r="I131" s="12"/>
      <c r="J131" s="1054" t="s">
        <v>2467</v>
      </c>
      <c r="K131" s="1018" t="s">
        <v>2468</v>
      </c>
      <c r="L131" s="1055"/>
      <c r="M131" s="1056"/>
      <c r="N131" s="1056"/>
      <c r="O131" s="1056"/>
      <c r="P131" s="1056"/>
      <c r="Q131" s="1056"/>
      <c r="R131" s="1056"/>
      <c r="S131" s="1056"/>
      <c r="T131" s="1057"/>
      <c r="U131" s="1056"/>
      <c r="V131" s="1058"/>
      <c r="W131" s="1059"/>
      <c r="X131" s="1059"/>
      <c r="Y131" s="1056"/>
      <c r="Z131" s="1056"/>
      <c r="AA131" s="1056"/>
      <c r="AB131" s="1056"/>
      <c r="AC131" s="1060"/>
      <c r="AD131" s="12"/>
      <c r="AE131" s="12"/>
      <c r="AF131" s="12"/>
      <c r="AG131" s="12"/>
      <c r="AH131" s="12"/>
      <c r="AI131" s="12"/>
      <c r="AJ131" s="12"/>
      <c r="AK131" s="12"/>
    </row>
    <row r="132" spans="1:37" ht="15.75">
      <c r="A132" s="12"/>
      <c r="B132" s="12"/>
      <c r="C132" s="12"/>
      <c r="D132" s="12"/>
      <c r="E132" s="12"/>
      <c r="F132" s="12"/>
      <c r="G132" s="870"/>
      <c r="H132" s="12"/>
      <c r="I132" s="12"/>
      <c r="J132" s="1054" t="s">
        <v>2473</v>
      </c>
      <c r="K132" s="1018" t="s">
        <v>2474</v>
      </c>
      <c r="L132" s="1061"/>
      <c r="M132" s="1056"/>
      <c r="N132" s="1056"/>
      <c r="O132" s="1056"/>
      <c r="P132" s="1055"/>
      <c r="Q132" s="1056"/>
      <c r="R132" s="1056"/>
      <c r="S132" s="1056"/>
      <c r="T132" s="1057"/>
      <c r="U132" s="1056"/>
      <c r="V132" s="1058"/>
      <c r="W132" s="1059"/>
      <c r="X132" s="1059"/>
      <c r="Y132" s="1056"/>
      <c r="Z132" s="1056"/>
      <c r="AA132" s="1056"/>
      <c r="AB132" s="1056"/>
      <c r="AC132" s="1060"/>
      <c r="AD132" s="12"/>
      <c r="AE132" s="12"/>
      <c r="AF132" s="12"/>
      <c r="AG132" s="12"/>
      <c r="AH132" s="12"/>
      <c r="AI132" s="12"/>
      <c r="AJ132" s="12"/>
      <c r="AK132" s="12"/>
    </row>
    <row r="133" spans="1:37" ht="15.75">
      <c r="A133" s="12"/>
      <c r="B133" s="12"/>
      <c r="C133" s="12"/>
      <c r="D133" s="12"/>
      <c r="E133" s="12"/>
      <c r="F133" s="12"/>
      <c r="G133" s="870"/>
      <c r="H133" s="12"/>
      <c r="I133" s="12"/>
      <c r="J133" s="1054" t="s">
        <v>2475</v>
      </c>
      <c r="K133" s="1018" t="s">
        <v>2476</v>
      </c>
      <c r="L133" s="1061"/>
      <c r="M133" s="1056"/>
      <c r="N133" s="1056"/>
      <c r="O133" s="1056"/>
      <c r="P133" s="1061"/>
      <c r="Q133" s="1056"/>
      <c r="R133" s="1056"/>
      <c r="S133" s="1056"/>
      <c r="T133" s="1057"/>
      <c r="U133" s="1056"/>
      <c r="V133" s="1058"/>
      <c r="W133" s="1059"/>
      <c r="X133" s="1059"/>
      <c r="Y133" s="1056"/>
      <c r="Z133" s="1056"/>
      <c r="AA133" s="1056"/>
      <c r="AB133" s="1056"/>
      <c r="AC133" s="1060"/>
      <c r="AD133" s="12"/>
      <c r="AE133" s="12"/>
      <c r="AF133" s="12"/>
      <c r="AG133" s="12"/>
      <c r="AH133" s="12"/>
      <c r="AI133" s="12"/>
      <c r="AJ133" s="12"/>
      <c r="AK133" s="12"/>
    </row>
    <row r="134" spans="1:37" ht="18.75">
      <c r="A134" s="12"/>
      <c r="B134" s="12"/>
      <c r="C134" s="12"/>
      <c r="D134" s="12"/>
      <c r="E134" s="12"/>
      <c r="F134" s="12"/>
      <c r="G134" s="870"/>
      <c r="H134" s="12"/>
      <c r="I134" s="12"/>
      <c r="J134" s="1054" t="s">
        <v>2477</v>
      </c>
      <c r="K134" s="1018" t="s">
        <v>725</v>
      </c>
      <c r="L134" s="1058"/>
      <c r="M134" s="1058"/>
      <c r="N134" s="1056"/>
      <c r="O134" s="1058"/>
      <c r="P134" s="1056"/>
      <c r="Q134" s="1056"/>
      <c r="R134" s="1058"/>
      <c r="S134" s="1056"/>
      <c r="T134" s="1058"/>
      <c r="U134" s="1056"/>
      <c r="V134" s="1056"/>
      <c r="W134" s="1059"/>
      <c r="X134" s="1056"/>
      <c r="Y134" s="1056"/>
      <c r="Z134" s="1056"/>
      <c r="AA134" s="1056"/>
      <c r="AB134" s="1056"/>
      <c r="AC134" s="1060"/>
      <c r="AD134" s="12"/>
      <c r="AE134" s="12"/>
      <c r="AF134" s="12"/>
      <c r="AG134" s="12"/>
      <c r="AH134" s="12"/>
      <c r="AI134" s="12"/>
      <c r="AJ134" s="12"/>
      <c r="AK134" s="12"/>
    </row>
    <row r="135" spans="1:37" ht="18.75">
      <c r="A135" s="12"/>
      <c r="B135" s="12"/>
      <c r="C135" s="12"/>
      <c r="D135" s="12"/>
      <c r="E135" s="12"/>
      <c r="F135" s="12"/>
      <c r="G135" s="870"/>
      <c r="H135" s="12"/>
      <c r="I135" s="12"/>
      <c r="J135" s="1054" t="s">
        <v>2479</v>
      </c>
      <c r="K135" s="1018" t="s">
        <v>731</v>
      </c>
      <c r="L135" s="1058"/>
      <c r="M135" s="1056"/>
      <c r="N135" s="1058"/>
      <c r="O135" s="1058"/>
      <c r="P135" s="1056"/>
      <c r="Q135" s="1056"/>
      <c r="R135" s="1058"/>
      <c r="S135" s="1056"/>
      <c r="T135" s="1058"/>
      <c r="U135" s="1056"/>
      <c r="V135" s="1056"/>
      <c r="W135" s="1059"/>
      <c r="X135" s="1056"/>
      <c r="Y135" s="1056"/>
      <c r="Z135" s="1056"/>
      <c r="AA135" s="1056"/>
      <c r="AB135" s="1056"/>
      <c r="AC135" s="1060"/>
      <c r="AD135" s="12"/>
      <c r="AE135" s="12"/>
      <c r="AF135" s="12"/>
      <c r="AG135" s="12"/>
      <c r="AH135" s="12"/>
      <c r="AI135" s="12"/>
      <c r="AJ135" s="12"/>
      <c r="AK135" s="12"/>
    </row>
    <row r="136" spans="1:37" ht="18.75">
      <c r="A136" s="12"/>
      <c r="B136" s="12"/>
      <c r="C136" s="12"/>
      <c r="D136" s="12"/>
      <c r="E136" s="12"/>
      <c r="F136" s="12"/>
      <c r="G136" s="870"/>
      <c r="H136" s="12"/>
      <c r="I136" s="12"/>
      <c r="J136" s="1054" t="s">
        <v>2482</v>
      </c>
      <c r="K136" s="1018" t="s">
        <v>734</v>
      </c>
      <c r="L136" s="1061"/>
      <c r="M136" s="1058"/>
      <c r="N136" s="1056"/>
      <c r="O136" s="1058"/>
      <c r="P136" s="1058"/>
      <c r="Q136" s="1056"/>
      <c r="R136" s="1058"/>
      <c r="S136" s="1056"/>
      <c r="T136" s="1058"/>
      <c r="U136" s="1056"/>
      <c r="V136" s="1056"/>
      <c r="W136" s="1059"/>
      <c r="X136" s="1056"/>
      <c r="Y136" s="1056"/>
      <c r="Z136" s="1056"/>
      <c r="AA136" s="1056"/>
      <c r="AB136" s="1056"/>
      <c r="AC136" s="1060"/>
      <c r="AD136" s="12"/>
      <c r="AE136" s="12"/>
      <c r="AF136" s="12"/>
      <c r="AG136" s="12"/>
      <c r="AH136" s="12"/>
      <c r="AI136" s="12"/>
      <c r="AJ136" s="12"/>
      <c r="AK136" s="12"/>
    </row>
    <row r="137" spans="1:37" ht="18.75">
      <c r="A137" s="12"/>
      <c r="B137" s="12"/>
      <c r="C137" s="12"/>
      <c r="D137" s="12"/>
      <c r="E137" s="12"/>
      <c r="F137" s="12"/>
      <c r="G137" s="870"/>
      <c r="H137" s="12"/>
      <c r="I137" s="12"/>
      <c r="J137" s="1054" t="s">
        <v>2484</v>
      </c>
      <c r="K137" s="1018" t="s">
        <v>739</v>
      </c>
      <c r="L137" s="1061"/>
      <c r="M137" s="1056"/>
      <c r="N137" s="1058"/>
      <c r="O137" s="1058"/>
      <c r="P137" s="1058"/>
      <c r="Q137" s="1056"/>
      <c r="R137" s="1058"/>
      <c r="S137" s="1056"/>
      <c r="T137" s="1058"/>
      <c r="U137" s="1056"/>
      <c r="V137" s="1056"/>
      <c r="W137" s="1059"/>
      <c r="X137" s="1056"/>
      <c r="Y137" s="1056"/>
      <c r="Z137" s="1056"/>
      <c r="AA137" s="1056"/>
      <c r="AB137" s="1056"/>
      <c r="AC137" s="1060"/>
      <c r="AD137" s="12"/>
      <c r="AE137" s="12"/>
      <c r="AF137" s="12"/>
      <c r="AG137" s="12"/>
      <c r="AH137" s="12"/>
      <c r="AI137" s="12"/>
      <c r="AJ137" s="12"/>
      <c r="AK137" s="12"/>
    </row>
    <row r="138" spans="1:37" ht="15.75">
      <c r="A138" s="12"/>
      <c r="B138" s="12"/>
      <c r="C138" s="12"/>
      <c r="D138" s="12"/>
      <c r="E138" s="12"/>
      <c r="F138" s="12"/>
      <c r="G138" s="870"/>
      <c r="H138" s="12"/>
      <c r="I138" s="12"/>
      <c r="J138" s="1054" t="s">
        <v>2486</v>
      </c>
      <c r="K138" s="1018" t="s">
        <v>2487</v>
      </c>
      <c r="L138" s="1061"/>
      <c r="M138" s="1058"/>
      <c r="N138" s="1056"/>
      <c r="O138" s="1056"/>
      <c r="P138" s="1061"/>
      <c r="Q138" s="1056"/>
      <c r="R138" s="1056"/>
      <c r="S138" s="1056"/>
      <c r="T138" s="1058"/>
      <c r="U138" s="1056"/>
      <c r="V138" s="1056"/>
      <c r="W138" s="1059"/>
      <c r="X138" s="1056"/>
      <c r="Y138" s="1056"/>
      <c r="Z138" s="1056"/>
      <c r="AA138" s="1056"/>
      <c r="AB138" s="1056"/>
      <c r="AC138" s="1060"/>
      <c r="AD138" s="12"/>
      <c r="AE138" s="12"/>
      <c r="AF138" s="12"/>
      <c r="AG138" s="12"/>
      <c r="AH138" s="12"/>
      <c r="AI138" s="12"/>
      <c r="AJ138" s="12"/>
      <c r="AK138" s="12"/>
    </row>
    <row r="139" spans="1:37" ht="15.75">
      <c r="A139" s="12"/>
      <c r="B139" s="12"/>
      <c r="C139" s="12"/>
      <c r="D139" s="12"/>
      <c r="E139" s="12"/>
      <c r="F139" s="12"/>
      <c r="G139" s="870"/>
      <c r="H139" s="12"/>
      <c r="I139" s="12"/>
      <c r="J139" s="1054" t="s">
        <v>2493</v>
      </c>
      <c r="K139" s="1018" t="s">
        <v>2494</v>
      </c>
      <c r="L139" s="1056"/>
      <c r="M139" s="1056"/>
      <c r="N139" s="1056"/>
      <c r="O139" s="1056"/>
      <c r="P139" s="1056"/>
      <c r="Q139" s="1056"/>
      <c r="R139" s="1056"/>
      <c r="S139" s="1056"/>
      <c r="T139" s="1056"/>
      <c r="U139" s="1056"/>
      <c r="V139" s="1056"/>
      <c r="W139" s="1058"/>
      <c r="X139" s="1056"/>
      <c r="Y139" s="1056"/>
      <c r="Z139" s="1056"/>
      <c r="AA139" s="1056"/>
      <c r="AB139" s="1056"/>
      <c r="AC139" s="1060"/>
      <c r="AD139" s="12"/>
      <c r="AE139" s="12"/>
      <c r="AF139" s="12"/>
      <c r="AG139" s="12"/>
      <c r="AH139" s="12"/>
      <c r="AI139" s="12"/>
      <c r="AJ139" s="12"/>
      <c r="AK139" s="12"/>
    </row>
    <row r="140" spans="1:37" ht="15.75">
      <c r="A140" s="12"/>
      <c r="B140" s="12"/>
      <c r="C140" s="12"/>
      <c r="D140" s="12"/>
      <c r="E140" s="12"/>
      <c r="F140" s="12"/>
      <c r="G140" s="870"/>
      <c r="H140" s="12"/>
      <c r="I140" s="12"/>
      <c r="J140" s="1054" t="s">
        <v>2499</v>
      </c>
      <c r="K140" s="1018" t="s">
        <v>1918</v>
      </c>
      <c r="L140" s="1061"/>
      <c r="M140" s="1056"/>
      <c r="N140" s="1058"/>
      <c r="O140" s="1056"/>
      <c r="P140" s="1061"/>
      <c r="Q140" s="1056"/>
      <c r="R140" s="1056"/>
      <c r="S140" s="1056"/>
      <c r="T140" s="1057"/>
      <c r="U140" s="1056"/>
      <c r="V140" s="1056"/>
      <c r="W140" s="1056"/>
      <c r="X140" s="1059"/>
      <c r="Y140" s="1058"/>
      <c r="Z140" s="1056"/>
      <c r="AA140" s="1058"/>
      <c r="AB140" s="1056"/>
      <c r="AC140" s="1060"/>
      <c r="AD140" s="12"/>
      <c r="AE140" s="12"/>
      <c r="AF140" s="12"/>
      <c r="AG140" s="12"/>
      <c r="AH140" s="12"/>
      <c r="AI140" s="12"/>
      <c r="AJ140" s="12"/>
      <c r="AK140" s="12"/>
    </row>
    <row r="141" spans="1:37" ht="15.75">
      <c r="A141" s="12"/>
      <c r="B141" s="12"/>
      <c r="C141" s="12"/>
      <c r="D141" s="12"/>
      <c r="E141" s="12"/>
      <c r="F141" s="12"/>
      <c r="G141" s="870"/>
      <c r="H141" s="12"/>
      <c r="I141" s="12"/>
      <c r="J141" s="1054" t="s">
        <v>2502</v>
      </c>
      <c r="K141" s="1018" t="s">
        <v>2229</v>
      </c>
      <c r="L141" s="1061"/>
      <c r="M141" s="1056"/>
      <c r="N141" s="1056"/>
      <c r="O141" s="1056"/>
      <c r="P141" s="1061"/>
      <c r="Q141" s="1056"/>
      <c r="R141" s="1056"/>
      <c r="S141" s="1056"/>
      <c r="T141" s="1058" t="s">
        <v>2446</v>
      </c>
      <c r="U141" s="1056"/>
      <c r="V141" s="1056"/>
      <c r="W141" s="1056"/>
      <c r="X141" s="1059"/>
      <c r="Y141" s="1058"/>
      <c r="Z141" s="1056"/>
      <c r="AA141" s="1056"/>
      <c r="AB141" s="1056"/>
      <c r="AC141" s="1060"/>
      <c r="AD141" s="12"/>
      <c r="AE141" s="12"/>
      <c r="AF141" s="12"/>
      <c r="AG141" s="12"/>
      <c r="AH141" s="12"/>
      <c r="AI141" s="12"/>
      <c r="AJ141" s="12"/>
      <c r="AK141" s="12"/>
    </row>
    <row r="142" spans="1:37" ht="15.75">
      <c r="A142" s="12"/>
      <c r="B142" s="12"/>
      <c r="C142" s="12"/>
      <c r="D142" s="12"/>
      <c r="E142" s="12"/>
      <c r="F142" s="12"/>
      <c r="G142" s="870"/>
      <c r="H142" s="12"/>
      <c r="I142" s="12"/>
      <c r="J142" s="1054" t="s">
        <v>2082</v>
      </c>
      <c r="K142" s="1018" t="s">
        <v>1919</v>
      </c>
      <c r="L142" s="1061"/>
      <c r="M142" s="1056"/>
      <c r="N142" s="1058"/>
      <c r="O142" s="1056"/>
      <c r="P142" s="1058"/>
      <c r="Q142" s="1056"/>
      <c r="R142" s="1056"/>
      <c r="S142" s="1056"/>
      <c r="T142" s="1057"/>
      <c r="U142" s="1056"/>
      <c r="V142" s="1056"/>
      <c r="W142" s="1056"/>
      <c r="X142" s="1059"/>
      <c r="Y142" s="1058"/>
      <c r="Z142" s="1056"/>
      <c r="AA142" s="1056"/>
      <c r="AB142" s="1056"/>
      <c r="AC142" s="1060"/>
      <c r="AD142" s="12"/>
      <c r="AE142" s="12"/>
      <c r="AF142" s="12"/>
      <c r="AG142" s="12"/>
      <c r="AH142" s="12"/>
      <c r="AI142" s="12"/>
      <c r="AJ142" s="12"/>
      <c r="AK142" s="12"/>
    </row>
    <row r="143" spans="1:37" ht="15.75">
      <c r="A143" s="12"/>
      <c r="B143" s="12"/>
      <c r="C143" s="12"/>
      <c r="D143" s="12"/>
      <c r="E143" s="12"/>
      <c r="F143" s="12"/>
      <c r="G143" s="870"/>
      <c r="H143" s="12"/>
      <c r="I143" s="12"/>
      <c r="J143" s="1054" t="s">
        <v>2234</v>
      </c>
      <c r="K143" s="1018" t="s">
        <v>2235</v>
      </c>
      <c r="L143" s="1061"/>
      <c r="M143" s="1056"/>
      <c r="N143" s="1056"/>
      <c r="O143" s="1058"/>
      <c r="P143" s="1058"/>
      <c r="Q143" s="1056"/>
      <c r="R143" s="1058"/>
      <c r="S143" s="1056"/>
      <c r="T143" s="1058"/>
      <c r="U143" s="1056"/>
      <c r="V143" s="1056"/>
      <c r="W143" s="1056"/>
      <c r="X143" s="1059"/>
      <c r="Y143" s="1056"/>
      <c r="Z143" s="1058"/>
      <c r="AA143" s="1056"/>
      <c r="AB143" s="1056"/>
      <c r="AC143" s="1060"/>
      <c r="AD143" s="12"/>
      <c r="AE143" s="12"/>
      <c r="AF143" s="12"/>
      <c r="AG143" s="12"/>
      <c r="AH143" s="12"/>
      <c r="AI143" s="12"/>
      <c r="AJ143" s="12"/>
      <c r="AK143" s="12"/>
    </row>
    <row r="144" spans="1:37" ht="18.75">
      <c r="A144" s="12"/>
      <c r="B144" s="12"/>
      <c r="C144" s="12"/>
      <c r="D144" s="12"/>
      <c r="E144" s="12"/>
      <c r="F144" s="12"/>
      <c r="G144" s="870"/>
      <c r="H144" s="12"/>
      <c r="I144" s="12"/>
      <c r="J144" s="1054" t="s">
        <v>2237</v>
      </c>
      <c r="K144" s="1018" t="s">
        <v>773</v>
      </c>
      <c r="L144" s="1061"/>
      <c r="M144" s="1056"/>
      <c r="N144" s="1056"/>
      <c r="O144" s="1056"/>
      <c r="P144" s="1058"/>
      <c r="Q144" s="1056"/>
      <c r="R144" s="1058"/>
      <c r="S144" s="1056"/>
      <c r="T144" s="1057"/>
      <c r="U144" s="1056"/>
      <c r="V144" s="1056"/>
      <c r="W144" s="1056"/>
      <c r="X144" s="1058"/>
      <c r="Y144" s="1061"/>
      <c r="Z144" s="1055"/>
      <c r="AA144" s="1056"/>
      <c r="AB144" s="1056"/>
      <c r="AC144" s="1060"/>
      <c r="AD144" s="12"/>
      <c r="AE144" s="12"/>
      <c r="AF144" s="12"/>
      <c r="AG144" s="12"/>
      <c r="AH144" s="12"/>
      <c r="AI144" s="12"/>
      <c r="AJ144" s="12"/>
      <c r="AK144" s="12"/>
    </row>
    <row r="145" spans="1:37" ht="15.75">
      <c r="A145" s="12"/>
      <c r="B145" s="12"/>
      <c r="C145" s="12"/>
      <c r="D145" s="12"/>
      <c r="E145" s="12"/>
      <c r="F145" s="12"/>
      <c r="G145" s="870"/>
      <c r="H145" s="12"/>
      <c r="I145" s="12"/>
      <c r="J145" s="1054" t="s">
        <v>2241</v>
      </c>
      <c r="K145" s="1018" t="s">
        <v>2242</v>
      </c>
      <c r="L145" s="1061"/>
      <c r="M145" s="1056"/>
      <c r="N145" s="1056"/>
      <c r="O145" s="1056"/>
      <c r="P145" s="1055"/>
      <c r="Q145" s="1058" t="s">
        <v>2446</v>
      </c>
      <c r="R145" s="1056"/>
      <c r="S145" s="1056"/>
      <c r="T145" s="1058" t="s">
        <v>2446</v>
      </c>
      <c r="U145" s="1056"/>
      <c r="V145" s="1056"/>
      <c r="W145" s="1056"/>
      <c r="X145" s="1058"/>
      <c r="Y145" s="1056"/>
      <c r="Z145" s="1055"/>
      <c r="AA145" s="1061"/>
      <c r="AB145" s="1056"/>
      <c r="AC145" s="1060"/>
      <c r="AD145" s="12"/>
      <c r="AE145" s="12"/>
      <c r="AF145" s="12"/>
      <c r="AG145" s="12"/>
      <c r="AH145" s="12"/>
      <c r="AI145" s="12"/>
      <c r="AJ145" s="12"/>
      <c r="AK145" s="12"/>
    </row>
    <row r="146" spans="1:37" ht="15.75">
      <c r="A146" s="12"/>
      <c r="B146" s="12"/>
      <c r="C146" s="12"/>
      <c r="D146" s="12"/>
      <c r="E146" s="12"/>
      <c r="F146" s="12"/>
      <c r="G146" s="870"/>
      <c r="H146" s="12"/>
      <c r="I146" s="12"/>
      <c r="J146" s="1054" t="s">
        <v>2244</v>
      </c>
      <c r="K146" s="1018" t="s">
        <v>2245</v>
      </c>
      <c r="L146" s="1061"/>
      <c r="M146" s="1056"/>
      <c r="N146" s="1056"/>
      <c r="O146" s="1056"/>
      <c r="P146" s="1058"/>
      <c r="Q146" s="1056"/>
      <c r="R146" s="1056"/>
      <c r="S146" s="1056"/>
      <c r="T146" s="1057"/>
      <c r="U146" s="1056"/>
      <c r="V146" s="1056"/>
      <c r="W146" s="1056"/>
      <c r="X146" s="1058"/>
      <c r="Y146" s="1056"/>
      <c r="Z146" s="1056"/>
      <c r="AA146" s="1056"/>
      <c r="AB146" s="1056"/>
      <c r="AC146" s="1060"/>
      <c r="AD146" s="12"/>
      <c r="AE146" s="12"/>
      <c r="AF146" s="12"/>
      <c r="AG146" s="12"/>
      <c r="AH146" s="12"/>
      <c r="AI146" s="12"/>
      <c r="AJ146" s="12"/>
      <c r="AK146" s="12"/>
    </row>
    <row r="147" spans="1:37" ht="15.75">
      <c r="A147" s="12"/>
      <c r="B147" s="12"/>
      <c r="C147" s="12"/>
      <c r="D147" s="12"/>
      <c r="E147" s="12"/>
      <c r="F147" s="12"/>
      <c r="G147" s="870"/>
      <c r="H147" s="12"/>
      <c r="I147" s="12"/>
      <c r="J147" s="1054" t="s">
        <v>2247</v>
      </c>
      <c r="K147" s="1018" t="s">
        <v>2248</v>
      </c>
      <c r="L147" s="1058"/>
      <c r="M147" s="1056"/>
      <c r="N147" s="1056"/>
      <c r="O147" s="1058"/>
      <c r="P147" s="1056"/>
      <c r="Q147" s="1056"/>
      <c r="R147" s="1058"/>
      <c r="S147" s="1056"/>
      <c r="T147" s="1058"/>
      <c r="U147" s="1056"/>
      <c r="V147" s="1056"/>
      <c r="W147" s="1056"/>
      <c r="X147" s="1059"/>
      <c r="Y147" s="1056"/>
      <c r="Z147" s="1058"/>
      <c r="AA147" s="1056"/>
      <c r="AB147" s="1056"/>
      <c r="AC147" s="1060"/>
      <c r="AD147" s="12"/>
      <c r="AE147" s="12"/>
      <c r="AF147" s="12"/>
      <c r="AG147" s="12"/>
      <c r="AH147" s="12"/>
      <c r="AI147" s="12"/>
      <c r="AJ147" s="12"/>
      <c r="AK147" s="12"/>
    </row>
    <row r="148" spans="1:37" ht="18.75">
      <c r="A148" s="12"/>
      <c r="B148" s="12"/>
      <c r="C148" s="12"/>
      <c r="D148" s="12"/>
      <c r="E148" s="12"/>
      <c r="F148" s="12"/>
      <c r="G148" s="870"/>
      <c r="H148" s="12"/>
      <c r="I148" s="12"/>
      <c r="J148" s="1054" t="s">
        <v>2250</v>
      </c>
      <c r="K148" s="1018" t="s">
        <v>802</v>
      </c>
      <c r="L148" s="1058"/>
      <c r="M148" s="1056"/>
      <c r="N148" s="1056"/>
      <c r="O148" s="1056"/>
      <c r="P148" s="1056"/>
      <c r="Q148" s="1056"/>
      <c r="R148" s="1058"/>
      <c r="S148" s="1056"/>
      <c r="T148" s="1057"/>
      <c r="U148" s="1056"/>
      <c r="V148" s="1056"/>
      <c r="W148" s="1056"/>
      <c r="X148" s="1058"/>
      <c r="Y148" s="1061"/>
      <c r="Z148" s="1055"/>
      <c r="AA148" s="1056"/>
      <c r="AB148" s="1056"/>
      <c r="AC148" s="1060"/>
      <c r="AD148" s="12"/>
      <c r="AE148" s="12"/>
      <c r="AF148" s="12"/>
      <c r="AG148" s="12"/>
      <c r="AH148" s="12"/>
      <c r="AI148" s="12"/>
      <c r="AJ148" s="12"/>
      <c r="AK148" s="12"/>
    </row>
    <row r="149" spans="1:37" ht="15.75">
      <c r="A149" s="12"/>
      <c r="B149" s="12"/>
      <c r="C149" s="12"/>
      <c r="D149" s="12"/>
      <c r="E149" s="12"/>
      <c r="F149" s="12"/>
      <c r="G149" s="870"/>
      <c r="H149" s="12"/>
      <c r="I149" s="12"/>
      <c r="J149" s="1054" t="s">
        <v>2252</v>
      </c>
      <c r="K149" s="1018" t="s">
        <v>2253</v>
      </c>
      <c r="L149" s="1055"/>
      <c r="M149" s="1056"/>
      <c r="N149" s="1056"/>
      <c r="O149" s="1056"/>
      <c r="P149" s="1056"/>
      <c r="Q149" s="1056"/>
      <c r="R149" s="1056"/>
      <c r="S149" s="1056"/>
      <c r="T149" s="1057"/>
      <c r="U149" s="1056"/>
      <c r="V149" s="1056"/>
      <c r="W149" s="1056"/>
      <c r="X149" s="1058"/>
      <c r="Y149" s="1056"/>
      <c r="Z149" s="1055"/>
      <c r="AA149" s="1061"/>
      <c r="AB149" s="1056"/>
      <c r="AC149" s="1060"/>
      <c r="AD149" s="12"/>
      <c r="AE149" s="12"/>
      <c r="AF149" s="12"/>
      <c r="AG149" s="12"/>
      <c r="AH149" s="12"/>
      <c r="AI149" s="12"/>
      <c r="AJ149" s="12"/>
      <c r="AK149" s="12"/>
    </row>
    <row r="150" spans="1:37" ht="15.75">
      <c r="A150" s="12"/>
      <c r="B150" s="12"/>
      <c r="C150" s="12"/>
      <c r="D150" s="12"/>
      <c r="E150" s="12"/>
      <c r="F150" s="12"/>
      <c r="G150" s="870"/>
      <c r="H150" s="12"/>
      <c r="I150" s="12"/>
      <c r="J150" s="1054" t="s">
        <v>2254</v>
      </c>
      <c r="K150" s="1018" t="s">
        <v>2255</v>
      </c>
      <c r="L150" s="1058"/>
      <c r="M150" s="1056"/>
      <c r="N150" s="1056"/>
      <c r="O150" s="1056"/>
      <c r="P150" s="1056"/>
      <c r="Q150" s="1056"/>
      <c r="R150" s="1056"/>
      <c r="S150" s="1056"/>
      <c r="T150" s="1057"/>
      <c r="U150" s="1056"/>
      <c r="V150" s="1056"/>
      <c r="W150" s="1056"/>
      <c r="X150" s="1058"/>
      <c r="Y150" s="1056"/>
      <c r="Z150" s="1056"/>
      <c r="AA150" s="1056"/>
      <c r="AB150" s="1056"/>
      <c r="AC150" s="1060"/>
      <c r="AD150" s="12"/>
      <c r="AE150" s="12"/>
      <c r="AF150" s="12"/>
      <c r="AG150" s="12"/>
      <c r="AH150" s="12"/>
      <c r="AI150" s="12"/>
      <c r="AJ150" s="12"/>
      <c r="AK150" s="12"/>
    </row>
    <row r="151" spans="1:37" ht="18.75">
      <c r="A151" s="12"/>
      <c r="B151" s="12"/>
      <c r="C151" s="12"/>
      <c r="D151" s="12"/>
      <c r="E151" s="12"/>
      <c r="F151" s="12"/>
      <c r="G151" s="870"/>
      <c r="H151" s="12"/>
      <c r="I151" s="12"/>
      <c r="J151" s="1054" t="s">
        <v>2258</v>
      </c>
      <c r="K151" s="1018" t="s">
        <v>818</v>
      </c>
      <c r="L151" s="1058"/>
      <c r="M151" s="1056"/>
      <c r="N151" s="1056"/>
      <c r="O151" s="1058"/>
      <c r="P151" s="1056"/>
      <c r="Q151" s="1056"/>
      <c r="R151" s="1058"/>
      <c r="S151" s="1056"/>
      <c r="T151" s="1058" t="s">
        <v>2446</v>
      </c>
      <c r="U151" s="1056"/>
      <c r="V151" s="1056"/>
      <c r="W151" s="1056"/>
      <c r="X151" s="1056"/>
      <c r="Y151" s="1056"/>
      <c r="Z151" s="1056"/>
      <c r="AA151" s="1056"/>
      <c r="AB151" s="1059"/>
      <c r="AC151" s="1060"/>
      <c r="AD151" s="12"/>
      <c r="AE151" s="12"/>
      <c r="AF151" s="12"/>
      <c r="AG151" s="12"/>
      <c r="AH151" s="12"/>
      <c r="AI151" s="12"/>
      <c r="AJ151" s="12"/>
      <c r="AK151" s="12"/>
    </row>
    <row r="152" spans="1:37" ht="16.5" thickBot="1">
      <c r="A152" s="12"/>
      <c r="B152" s="12"/>
      <c r="C152" s="12"/>
      <c r="D152" s="12"/>
      <c r="E152" s="12"/>
      <c r="F152" s="12"/>
      <c r="G152" s="870"/>
      <c r="H152" s="12"/>
      <c r="I152" s="12"/>
      <c r="J152" s="1062" t="s">
        <v>1763</v>
      </c>
      <c r="K152" s="1041" t="s">
        <v>2494</v>
      </c>
      <c r="L152" s="1063"/>
      <c r="M152" s="1063"/>
      <c r="N152" s="1063"/>
      <c r="O152" s="1063"/>
      <c r="P152" s="1063"/>
      <c r="Q152" s="1063"/>
      <c r="R152" s="1063"/>
      <c r="S152" s="1063"/>
      <c r="T152" s="1063"/>
      <c r="U152" s="1063"/>
      <c r="V152" s="1063"/>
      <c r="W152" s="1063"/>
      <c r="X152" s="1063"/>
      <c r="Y152" s="1063"/>
      <c r="Z152" s="1063"/>
      <c r="AA152" s="1063"/>
      <c r="AB152" s="1064"/>
      <c r="AC152" s="1065"/>
      <c r="AD152" s="12"/>
      <c r="AE152" s="12"/>
      <c r="AF152" s="12"/>
      <c r="AG152" s="12"/>
      <c r="AH152" s="12"/>
      <c r="AI152" s="12"/>
      <c r="AJ152" s="12"/>
      <c r="AK152" s="12"/>
    </row>
    <row r="153" spans="1:37" ht="14.25">
      <c r="A153" s="12"/>
      <c r="B153" s="12"/>
      <c r="C153" s="12"/>
      <c r="D153" s="12"/>
      <c r="E153" s="12"/>
      <c r="F153" s="12"/>
      <c r="G153" s="870"/>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row>
    <row r="154" spans="1:37" ht="14.25">
      <c r="A154" s="12"/>
      <c r="B154" s="12"/>
      <c r="C154" s="12"/>
      <c r="D154" s="12"/>
      <c r="E154" s="12"/>
      <c r="F154" s="12"/>
      <c r="G154" s="870"/>
      <c r="H154" s="12"/>
      <c r="I154" s="12"/>
      <c r="J154" s="1330" t="s">
        <v>2447</v>
      </c>
      <c r="K154" s="1330"/>
      <c r="L154" s="1330"/>
      <c r="M154" s="1330"/>
      <c r="N154" s="1330"/>
      <c r="O154" s="1330"/>
      <c r="P154" s="1330"/>
      <c r="Q154" s="1330"/>
      <c r="R154" s="1330"/>
      <c r="S154" s="1330"/>
      <c r="T154" s="1330"/>
      <c r="U154" s="1330"/>
      <c r="V154" s="1330"/>
      <c r="W154" s="1330"/>
      <c r="X154" s="1330"/>
      <c r="Y154" s="1330"/>
      <c r="Z154" s="1330"/>
      <c r="AA154" s="1330"/>
      <c r="AB154" s="1330"/>
      <c r="AC154" s="1330"/>
      <c r="AD154" s="12"/>
      <c r="AE154" s="12"/>
      <c r="AF154" s="12"/>
      <c r="AG154" s="12"/>
      <c r="AH154" s="12"/>
      <c r="AI154" s="12"/>
      <c r="AJ154" s="12"/>
      <c r="AK154" s="12"/>
    </row>
  </sheetData>
  <mergeCells count="75">
    <mergeCell ref="B3:AI3"/>
    <mergeCell ref="B5:G5"/>
    <mergeCell ref="K5:L5"/>
    <mergeCell ref="M5:AC5"/>
    <mergeCell ref="B7:G8"/>
    <mergeCell ref="K7:L7"/>
    <mergeCell ref="M7:S7"/>
    <mergeCell ref="B9:G9"/>
    <mergeCell ref="J9:AI9"/>
    <mergeCell ref="AD11:AI11"/>
    <mergeCell ref="B12:B29"/>
    <mergeCell ref="AD12:AI12"/>
    <mergeCell ref="AD13:AI13"/>
    <mergeCell ref="AD14:AI14"/>
    <mergeCell ref="AD15:AI15"/>
    <mergeCell ref="AD16:AI16"/>
    <mergeCell ref="AD17:AI17"/>
    <mergeCell ref="AD18:AI18"/>
    <mergeCell ref="AD19:AI19"/>
    <mergeCell ref="AD20:AI20"/>
    <mergeCell ref="AD21:AI21"/>
    <mergeCell ref="AD22:AI22"/>
    <mergeCell ref="AD23:AI23"/>
    <mergeCell ref="AD24:AI24"/>
    <mergeCell ref="AD25:AI25"/>
    <mergeCell ref="AD26:AI26"/>
    <mergeCell ref="AD27:AI27"/>
    <mergeCell ref="AD28:AI28"/>
    <mergeCell ref="AD29:AI29"/>
    <mergeCell ref="B30:B70"/>
    <mergeCell ref="AD30:AI30"/>
    <mergeCell ref="AD31:AI31"/>
    <mergeCell ref="AD32:AI32"/>
    <mergeCell ref="AD33:AI33"/>
    <mergeCell ref="K34:AC34"/>
    <mergeCell ref="J42:AI42"/>
    <mergeCell ref="AD44:AI44"/>
    <mergeCell ref="AD45:AI45"/>
    <mergeCell ref="AD46:AI46"/>
    <mergeCell ref="AD47:AI47"/>
    <mergeCell ref="AD48:AI48"/>
    <mergeCell ref="AD49:AI49"/>
    <mergeCell ref="AD50:AI50"/>
    <mergeCell ref="AD51:AI51"/>
    <mergeCell ref="AD52:AI52"/>
    <mergeCell ref="AD53:AI53"/>
    <mergeCell ref="AD54:AI54"/>
    <mergeCell ref="AD55:AI55"/>
    <mergeCell ref="AD56:AI56"/>
    <mergeCell ref="AD57:AI57"/>
    <mergeCell ref="AD58:AI58"/>
    <mergeCell ref="AD59:AI59"/>
    <mergeCell ref="AD60:AI60"/>
    <mergeCell ref="AD61:AI61"/>
    <mergeCell ref="AD62:AI62"/>
    <mergeCell ref="AD63:AI63"/>
    <mergeCell ref="AD64:AI64"/>
    <mergeCell ref="AD65:AI65"/>
    <mergeCell ref="AD66:AI66"/>
    <mergeCell ref="K67:AC67"/>
    <mergeCell ref="B71:B121"/>
    <mergeCell ref="J75:AK75"/>
    <mergeCell ref="AD77:AI77"/>
    <mergeCell ref="J122:AI122"/>
    <mergeCell ref="M124:R124"/>
    <mergeCell ref="S124:W124"/>
    <mergeCell ref="M125:R125"/>
    <mergeCell ref="S125:W125"/>
    <mergeCell ref="M128:R128"/>
    <mergeCell ref="S128:W128"/>
    <mergeCell ref="J154:AC154"/>
    <mergeCell ref="M126:R126"/>
    <mergeCell ref="S126:W126"/>
    <mergeCell ref="M127:R127"/>
    <mergeCell ref="S127:W127"/>
  </mergeCells>
  <printOptions/>
  <pageMargins left="0.75" right="0.75" top="1" bottom="1" header="0.4921259845" footer="0.4921259845"/>
  <pageSetup orientation="portrait" paperSize="9"/>
  <legacyDrawing r:id="rId95"/>
  <oleObjects>
    <oleObject progId="Equation.3" shapeId="601780" r:id="rId1"/>
    <oleObject progId="Equation.3" shapeId="601781" r:id="rId2"/>
    <oleObject progId="Equation.3" shapeId="601782" r:id="rId3"/>
    <oleObject progId="Equation.3" shapeId="601783" r:id="rId4"/>
    <oleObject progId="Equation.3" shapeId="601784" r:id="rId5"/>
    <oleObject progId="Equation.3" shapeId="601785" r:id="rId6"/>
    <oleObject progId="Equation.3" shapeId="601786" r:id="rId7"/>
    <oleObject progId="Equation.3" shapeId="601787" r:id="rId8"/>
    <oleObject progId="Equation.3" shapeId="601788" r:id="rId9"/>
    <oleObject progId="Equation.3" shapeId="601789" r:id="rId10"/>
    <oleObject progId="Equation.3" shapeId="601790" r:id="rId11"/>
    <oleObject progId="Equation.3" shapeId="601791" r:id="rId12"/>
    <oleObject progId="Equation.3" shapeId="601792" r:id="rId13"/>
    <oleObject progId="Equation.3" shapeId="601793" r:id="rId14"/>
    <oleObject progId="Equation.3" shapeId="601794" r:id="rId15"/>
    <oleObject progId="Equation.3" shapeId="601795" r:id="rId16"/>
    <oleObject progId="Equation.3" shapeId="601796" r:id="rId17"/>
    <oleObject progId="Equation.3" shapeId="601797" r:id="rId18"/>
    <oleObject progId="Equation.3" shapeId="601798" r:id="rId19"/>
    <oleObject progId="Equation.3" shapeId="601799" r:id="rId20"/>
    <oleObject progId="Equation.3" shapeId="601800" r:id="rId21"/>
    <oleObject progId="Equation.3" shapeId="601801" r:id="rId22"/>
    <oleObject progId="Equation.3" shapeId="601802" r:id="rId23"/>
    <oleObject progId="Equation.3" shapeId="601803" r:id="rId24"/>
    <oleObject progId="Equation.3" shapeId="601804" r:id="rId25"/>
    <oleObject progId="Equation.3" shapeId="601805" r:id="rId26"/>
    <oleObject progId="Equation.3" shapeId="601806" r:id="rId27"/>
    <oleObject progId="Equation.3" shapeId="601807" r:id="rId28"/>
    <oleObject progId="Equation.3" shapeId="601808" r:id="rId29"/>
    <oleObject progId="Equation.3" shapeId="601809" r:id="rId30"/>
    <oleObject progId="Equation.3" shapeId="601810" r:id="rId31"/>
    <oleObject progId="Equation.3" shapeId="601811" r:id="rId32"/>
    <oleObject progId="Equation.3" shapeId="601812" r:id="rId33"/>
    <oleObject progId="Equation.3" shapeId="601813" r:id="rId34"/>
    <oleObject progId="Equation.3" shapeId="601814" r:id="rId35"/>
    <oleObject progId="Equation.3" shapeId="601815" r:id="rId36"/>
    <oleObject progId="Equation.3" shapeId="601816" r:id="rId37"/>
    <oleObject progId="Equation.3" shapeId="601817" r:id="rId38"/>
    <oleObject progId="Equation.3" shapeId="601818" r:id="rId39"/>
    <oleObject progId="Equation.3" shapeId="601819" r:id="rId40"/>
    <oleObject progId="Equation.3" shapeId="601820" r:id="rId41"/>
    <oleObject progId="Equation.3" shapeId="601821" r:id="rId42"/>
    <oleObject progId="Equation.3" shapeId="601822" r:id="rId43"/>
    <oleObject progId="Equation.3" shapeId="601823" r:id="rId44"/>
    <oleObject progId="Equation.3" shapeId="601824" r:id="rId45"/>
    <oleObject progId="Equation.3" shapeId="601825" r:id="rId46"/>
    <oleObject progId="Equation.3" shapeId="601826" r:id="rId47"/>
    <oleObject progId="Equation.3" shapeId="601827" r:id="rId48"/>
    <oleObject progId="Equation.3" shapeId="601828" r:id="rId49"/>
    <oleObject progId="Equation.3" shapeId="601829" r:id="rId50"/>
    <oleObject progId="Equation.3" shapeId="601830" r:id="rId51"/>
    <oleObject progId="Equation.3" shapeId="601831" r:id="rId52"/>
    <oleObject progId="Equation.3" shapeId="601832" r:id="rId53"/>
    <oleObject progId="Equation.3" shapeId="601833" r:id="rId54"/>
    <oleObject progId="Equation.3" shapeId="601834" r:id="rId55"/>
    <oleObject progId="Equation.3" shapeId="601835" r:id="rId56"/>
    <oleObject progId="Equation.3" shapeId="601836" r:id="rId57"/>
    <oleObject progId="Equation.3" shapeId="601837" r:id="rId58"/>
    <oleObject progId="Equation.3" shapeId="601838" r:id="rId59"/>
    <oleObject progId="Equation.3" shapeId="601839" r:id="rId60"/>
    <oleObject progId="Equation.3" shapeId="601840" r:id="rId61"/>
    <oleObject progId="Equation.3" shapeId="601841" r:id="rId62"/>
    <oleObject progId="Equation.3" shapeId="601842" r:id="rId63"/>
    <oleObject progId="Equation.3" shapeId="601843" r:id="rId64"/>
    <oleObject progId="Equation.3" shapeId="601844" r:id="rId65"/>
    <oleObject progId="Equation.3" shapeId="601845" r:id="rId66"/>
    <oleObject progId="Equation.3" shapeId="601846" r:id="rId67"/>
    <oleObject progId="Equation.3" shapeId="601847" r:id="rId68"/>
    <oleObject progId="Equation.3" shapeId="601848" r:id="rId69"/>
    <oleObject progId="Equation.3" shapeId="601849" r:id="rId70"/>
    <oleObject progId="Equation.3" shapeId="601850" r:id="rId71"/>
    <oleObject progId="Equation.3" shapeId="601851" r:id="rId72"/>
    <oleObject progId="Equation.3" shapeId="601852" r:id="rId73"/>
    <oleObject progId="Equation.3" shapeId="601853" r:id="rId74"/>
    <oleObject progId="Equation.3" shapeId="601854" r:id="rId75"/>
    <oleObject progId="Equation.3" shapeId="601855" r:id="rId76"/>
    <oleObject progId="Equation.3" shapeId="601856" r:id="rId77"/>
    <oleObject progId="Equation.3" shapeId="601857" r:id="rId78"/>
    <oleObject progId="Equation.3" shapeId="601858" r:id="rId79"/>
    <oleObject progId="Equation.3" shapeId="601859" r:id="rId80"/>
    <oleObject progId="Equation.3" shapeId="601860" r:id="rId81"/>
    <oleObject progId="Equation.3" shapeId="601861" r:id="rId82"/>
    <oleObject progId="Equation.3" shapeId="601862" r:id="rId83"/>
    <oleObject progId="Equation.3" shapeId="601863" r:id="rId84"/>
    <oleObject progId="Equation.3" shapeId="601864" r:id="rId85"/>
    <oleObject progId="Equation.3" shapeId="601865" r:id="rId86"/>
    <oleObject progId="Equation.3" shapeId="601866" r:id="rId87"/>
    <oleObject progId="Equation.3" shapeId="601867" r:id="rId88"/>
    <oleObject progId="Equation.3" shapeId="601868" r:id="rId89"/>
    <oleObject progId="Equation.3" shapeId="601869" r:id="rId90"/>
    <oleObject progId="Equation.3" shapeId="601870" r:id="rId91"/>
    <oleObject progId="Equation.3" shapeId="601871" r:id="rId92"/>
    <oleObject progId="Equation.3" shapeId="601872" r:id="rId93"/>
    <oleObject progId="Equation.3" shapeId="601873" r:id="rId94"/>
  </oleObjects>
</worksheet>
</file>

<file path=xl/worksheets/sheet7.xml><?xml version="1.0" encoding="utf-8"?>
<worksheet xmlns="http://schemas.openxmlformats.org/spreadsheetml/2006/main" xmlns:r="http://schemas.openxmlformats.org/officeDocument/2006/relationships">
  <dimension ref="A1:AJ207"/>
  <sheetViews>
    <sheetView zoomScale="55" zoomScaleNormal="55" workbookViewId="0" topLeftCell="A1">
      <selection activeCell="B9" sqref="B9:G9"/>
    </sheetView>
  </sheetViews>
  <sheetFormatPr defaultColWidth="9.140625" defaultRowHeight="12.75"/>
  <cols>
    <col min="1" max="1" width="3.00390625" style="0" customWidth="1"/>
    <col min="2" max="2" width="4.28125" style="0" customWidth="1"/>
    <col min="3" max="3" width="75.7109375" style="0" bestFit="1" customWidth="1"/>
    <col min="4" max="4" width="12.7109375" style="0" customWidth="1"/>
    <col min="5" max="5" width="14.421875" style="0" bestFit="1" customWidth="1"/>
    <col min="6" max="7" width="11.421875" style="0" customWidth="1"/>
    <col min="8" max="9" width="4.140625" style="0" customWidth="1"/>
    <col min="10" max="10" width="5.00390625" style="0" customWidth="1"/>
    <col min="11" max="11" width="35.28125" style="0" customWidth="1"/>
    <col min="12" max="13" width="11.8515625" style="0" customWidth="1"/>
    <col min="14" max="14" width="11.140625" style="0" customWidth="1"/>
    <col min="15" max="15" width="17.00390625" style="0" customWidth="1"/>
    <col min="16" max="16" width="11.00390625" style="0" customWidth="1"/>
    <col min="17" max="17" width="14.8515625" style="0" customWidth="1"/>
    <col min="18" max="18" width="16.8515625" style="0" customWidth="1"/>
    <col min="20" max="20" width="3.7109375" style="0" customWidth="1"/>
    <col min="21" max="21" width="11.00390625" style="0" customWidth="1"/>
    <col min="22" max="22" width="17.57421875" style="0" customWidth="1"/>
    <col min="23" max="23" width="14.57421875" style="0" customWidth="1"/>
    <col min="24" max="24" width="12.7109375" style="0" customWidth="1"/>
    <col min="25" max="25" width="15.421875" style="0" customWidth="1"/>
    <col min="27" max="27" width="14.421875" style="0" customWidth="1"/>
    <col min="28" max="28" width="17.7109375" style="0" customWidth="1"/>
    <col min="29" max="29" width="4.57421875" style="0" customWidth="1"/>
    <col min="30" max="30" width="18.8515625" style="0" customWidth="1"/>
    <col min="31" max="31" width="16.00390625" style="0" customWidth="1"/>
    <col min="32" max="32" width="19.00390625" style="0" customWidth="1"/>
    <col min="33" max="33" width="18.28125" style="0" customWidth="1"/>
    <col min="34" max="34" width="17.7109375" style="0" customWidth="1"/>
    <col min="35" max="35" width="16.00390625" style="0" customWidth="1"/>
    <col min="36" max="36" width="23.8515625" style="0" customWidth="1"/>
    <col min="37" max="16384" width="11.421875" style="0" customWidth="1"/>
  </cols>
  <sheetData>
    <row r="1" spans="1:36" ht="14.25">
      <c r="A1" s="248"/>
      <c r="B1" s="248"/>
      <c r="C1" s="248"/>
      <c r="D1" s="248"/>
      <c r="E1" s="248"/>
      <c r="F1" s="248"/>
      <c r="G1" s="248"/>
      <c r="H1" s="248"/>
      <c r="I1" s="248"/>
      <c r="J1" s="9"/>
      <c r="K1" s="9"/>
      <c r="L1" s="9"/>
      <c r="M1" s="9"/>
      <c r="N1" s="9"/>
      <c r="O1" s="9"/>
      <c r="P1" s="9"/>
      <c r="Q1" s="9"/>
      <c r="R1" s="9"/>
      <c r="S1" s="9"/>
      <c r="T1" s="9"/>
      <c r="U1" s="9"/>
      <c r="V1" s="9"/>
      <c r="W1" s="9"/>
      <c r="X1" s="9"/>
      <c r="Y1" s="9"/>
      <c r="Z1" s="9"/>
      <c r="AA1" s="9"/>
      <c r="AB1" s="9"/>
      <c r="AC1" s="9"/>
      <c r="AD1" s="9"/>
      <c r="AE1" s="9"/>
      <c r="AF1" s="9"/>
      <c r="AG1" s="9"/>
      <c r="AH1" s="9"/>
      <c r="AI1" s="9"/>
      <c r="AJ1" s="248"/>
    </row>
    <row r="2" spans="1:36" ht="15" thickBot="1">
      <c r="A2" s="248"/>
      <c r="B2" s="248"/>
      <c r="C2" s="248"/>
      <c r="D2" s="248"/>
      <c r="E2" s="248"/>
      <c r="F2" s="248"/>
      <c r="G2" s="248"/>
      <c r="H2" s="248"/>
      <c r="I2" s="248"/>
      <c r="J2" s="9"/>
      <c r="K2" s="9"/>
      <c r="L2" s="9"/>
      <c r="M2" s="9"/>
      <c r="N2" s="9"/>
      <c r="O2" s="9"/>
      <c r="P2" s="9"/>
      <c r="Q2" s="9"/>
      <c r="R2" s="9"/>
      <c r="S2" s="9"/>
      <c r="T2" s="9"/>
      <c r="U2" s="9"/>
      <c r="V2" s="9"/>
      <c r="W2" s="9"/>
      <c r="X2" s="9"/>
      <c r="Y2" s="9"/>
      <c r="Z2" s="9"/>
      <c r="AA2" s="9"/>
      <c r="AB2" s="9"/>
      <c r="AC2" s="9"/>
      <c r="AD2" s="9"/>
      <c r="AE2" s="9"/>
      <c r="AF2" s="9"/>
      <c r="AG2" s="9"/>
      <c r="AH2" s="9"/>
      <c r="AI2" s="9"/>
      <c r="AJ2" s="248"/>
    </row>
    <row r="3" spans="1:36" ht="34.5" thickBot="1">
      <c r="A3" s="248"/>
      <c r="B3" s="1446" t="s">
        <v>1920</v>
      </c>
      <c r="C3" s="1447"/>
      <c r="D3" s="1447"/>
      <c r="E3" s="1447"/>
      <c r="F3" s="1447"/>
      <c r="G3" s="1447"/>
      <c r="H3" s="1447"/>
      <c r="I3" s="1447"/>
      <c r="J3" s="1447"/>
      <c r="K3" s="1447"/>
      <c r="L3" s="1447"/>
      <c r="M3" s="1447"/>
      <c r="N3" s="1447"/>
      <c r="O3" s="1447"/>
      <c r="P3" s="1447"/>
      <c r="Q3" s="1447"/>
      <c r="R3" s="1447"/>
      <c r="S3" s="1447"/>
      <c r="T3" s="1447"/>
      <c r="U3" s="1447"/>
      <c r="V3" s="1447"/>
      <c r="W3" s="1447"/>
      <c r="X3" s="1447"/>
      <c r="Y3" s="1447"/>
      <c r="Z3" s="1447"/>
      <c r="AA3" s="1447"/>
      <c r="AB3" s="1447"/>
      <c r="AC3" s="1447"/>
      <c r="AD3" s="1447"/>
      <c r="AE3" s="1447"/>
      <c r="AF3" s="1447"/>
      <c r="AG3" s="1447"/>
      <c r="AH3" s="1447"/>
      <c r="AI3" s="1447"/>
      <c r="AJ3" s="1448"/>
    </row>
    <row r="4" spans="1:36" ht="15" thickBot="1">
      <c r="A4" s="248"/>
      <c r="B4" s="248"/>
      <c r="C4" s="248"/>
      <c r="D4" s="248"/>
      <c r="E4" s="248"/>
      <c r="F4" s="248"/>
      <c r="G4" s="248"/>
      <c r="H4" s="248"/>
      <c r="I4" s="248"/>
      <c r="J4" s="9"/>
      <c r="K4" s="9"/>
      <c r="L4" s="9"/>
      <c r="M4" s="9"/>
      <c r="N4" s="9"/>
      <c r="O4" s="9"/>
      <c r="P4" s="9"/>
      <c r="Q4" s="9"/>
      <c r="R4" s="9"/>
      <c r="S4" s="9"/>
      <c r="T4" s="9"/>
      <c r="U4" s="9"/>
      <c r="V4" s="9"/>
      <c r="W4" s="9"/>
      <c r="X4" s="9"/>
      <c r="Y4" s="9"/>
      <c r="Z4" s="9"/>
      <c r="AA4" s="9"/>
      <c r="AB4" s="9"/>
      <c r="AC4" s="9"/>
      <c r="AD4" s="9"/>
      <c r="AE4" s="9"/>
      <c r="AF4" s="9"/>
      <c r="AG4" s="9"/>
      <c r="AH4" s="9"/>
      <c r="AI4" s="9"/>
      <c r="AJ4" s="248"/>
    </row>
    <row r="5" spans="1:36" ht="30.75" thickBot="1">
      <c r="A5" s="248"/>
      <c r="B5" s="1331" t="s">
        <v>2263</v>
      </c>
      <c r="C5" s="1332"/>
      <c r="D5" s="1332"/>
      <c r="E5" s="1332"/>
      <c r="F5" s="1332"/>
      <c r="G5" s="1333"/>
      <c r="H5" s="248"/>
      <c r="I5" s="248"/>
      <c r="J5" s="9"/>
      <c r="K5" s="1352" t="s">
        <v>2264</v>
      </c>
      <c r="L5" s="1358"/>
      <c r="M5" s="1359" t="s">
        <v>1921</v>
      </c>
      <c r="N5" s="1360"/>
      <c r="O5" s="1360"/>
      <c r="P5" s="1360"/>
      <c r="Q5" s="1360"/>
      <c r="R5" s="1360"/>
      <c r="S5" s="1360"/>
      <c r="T5" s="1360"/>
      <c r="U5" s="1360"/>
      <c r="V5" s="1360"/>
      <c r="W5" s="1360"/>
      <c r="X5" s="1360"/>
      <c r="Y5" s="1360"/>
      <c r="Z5" s="1360"/>
      <c r="AA5" s="1360"/>
      <c r="AB5" s="1360"/>
      <c r="AC5" s="1360"/>
      <c r="AD5" s="1360"/>
      <c r="AE5" s="1360"/>
      <c r="AF5" s="1361"/>
      <c r="AG5" s="9"/>
      <c r="AH5" s="9"/>
      <c r="AI5" s="9"/>
      <c r="AJ5" s="248"/>
    </row>
    <row r="6" spans="1:36" ht="15" thickBot="1">
      <c r="A6" s="248"/>
      <c r="B6" s="7"/>
      <c r="C6" s="7"/>
      <c r="D6" s="8"/>
      <c r="E6" s="8"/>
      <c r="F6" s="8"/>
      <c r="G6" s="8"/>
      <c r="H6" s="248"/>
      <c r="I6" s="248"/>
      <c r="J6" s="9"/>
      <c r="K6" s="12"/>
      <c r="L6" s="12"/>
      <c r="M6" s="12"/>
      <c r="N6" s="12"/>
      <c r="O6" s="12"/>
      <c r="P6" s="8"/>
      <c r="Q6" s="8"/>
      <c r="R6" s="8"/>
      <c r="S6" s="8"/>
      <c r="T6" s="8"/>
      <c r="U6" s="8"/>
      <c r="V6" s="8"/>
      <c r="W6" s="8"/>
      <c r="X6" s="9"/>
      <c r="Y6" s="9"/>
      <c r="Z6" s="9"/>
      <c r="AA6" s="9"/>
      <c r="AB6" s="9"/>
      <c r="AC6" s="9"/>
      <c r="AD6" s="9"/>
      <c r="AE6" s="9"/>
      <c r="AF6" s="9"/>
      <c r="AG6" s="9"/>
      <c r="AH6" s="9"/>
      <c r="AI6" s="9"/>
      <c r="AJ6" s="248"/>
    </row>
    <row r="7" spans="1:36" ht="18.75" thickBot="1">
      <c r="A7" s="248"/>
      <c r="B7" s="1330" t="s">
        <v>1922</v>
      </c>
      <c r="C7" s="1330"/>
      <c r="D7" s="1330"/>
      <c r="E7" s="1330"/>
      <c r="F7" s="1330"/>
      <c r="G7" s="1330"/>
      <c r="H7" s="248"/>
      <c r="I7" s="248"/>
      <c r="J7" s="9"/>
      <c r="K7" s="1352" t="s">
        <v>2267</v>
      </c>
      <c r="L7" s="1353"/>
      <c r="M7" s="1354" t="s">
        <v>2268</v>
      </c>
      <c r="N7" s="1355"/>
      <c r="O7" s="1355"/>
      <c r="P7" s="1355"/>
      <c r="Q7" s="1355"/>
      <c r="R7" s="1355"/>
      <c r="S7" s="1326"/>
      <c r="T7" s="8"/>
      <c r="U7" s="8"/>
      <c r="V7" s="8"/>
      <c r="W7" s="8"/>
      <c r="X7" s="9"/>
      <c r="Y7" s="9"/>
      <c r="Z7" s="9"/>
      <c r="AA7" s="9"/>
      <c r="AB7" s="9"/>
      <c r="AC7" s="9"/>
      <c r="AD7" s="9"/>
      <c r="AE7" s="9"/>
      <c r="AF7" s="9"/>
      <c r="AG7" s="9"/>
      <c r="AH7" s="9"/>
      <c r="AI7" s="9"/>
      <c r="AJ7" s="248"/>
    </row>
    <row r="8" spans="1:36" ht="15" thickBot="1">
      <c r="A8" s="248"/>
      <c r="B8" s="1330"/>
      <c r="C8" s="1330"/>
      <c r="D8" s="1330"/>
      <c r="E8" s="1330"/>
      <c r="F8" s="1330"/>
      <c r="G8" s="1330"/>
      <c r="H8" s="248"/>
      <c r="I8" s="248"/>
      <c r="J8" s="9"/>
      <c r="K8" s="9"/>
      <c r="L8" s="9"/>
      <c r="M8" s="9"/>
      <c r="N8" s="9"/>
      <c r="O8" s="9"/>
      <c r="P8" s="9"/>
      <c r="Q8" s="9"/>
      <c r="R8" s="9"/>
      <c r="S8" s="9"/>
      <c r="T8" s="9"/>
      <c r="U8" s="9"/>
      <c r="V8" s="9"/>
      <c r="W8" s="9"/>
      <c r="X8" s="9"/>
      <c r="Y8" s="9"/>
      <c r="Z8" s="9"/>
      <c r="AA8" s="9"/>
      <c r="AB8" s="9"/>
      <c r="AC8" s="9"/>
      <c r="AD8" s="9"/>
      <c r="AE8" s="9"/>
      <c r="AF8" s="9"/>
      <c r="AG8" s="9"/>
      <c r="AH8" s="9"/>
      <c r="AI8" s="9"/>
      <c r="AJ8" s="248"/>
    </row>
    <row r="9" spans="1:36" ht="30.75" thickBot="1">
      <c r="A9" s="248"/>
      <c r="B9" s="1324" t="s">
        <v>1387</v>
      </c>
      <c r="C9" s="1324"/>
      <c r="D9" s="1324"/>
      <c r="E9" s="1324"/>
      <c r="F9" s="1324"/>
      <c r="G9" s="1324"/>
      <c r="H9" s="248"/>
      <c r="I9" s="248"/>
      <c r="J9" s="1331" t="s">
        <v>2269</v>
      </c>
      <c r="K9" s="1332"/>
      <c r="L9" s="1332"/>
      <c r="M9" s="1332"/>
      <c r="N9" s="1332"/>
      <c r="O9" s="1332"/>
      <c r="P9" s="1332"/>
      <c r="Q9" s="1332"/>
      <c r="R9" s="1332"/>
      <c r="S9" s="1332"/>
      <c r="T9" s="1332"/>
      <c r="U9" s="1332"/>
      <c r="V9" s="1332"/>
      <c r="W9" s="1332"/>
      <c r="X9" s="1332"/>
      <c r="Y9" s="1332"/>
      <c r="Z9" s="1332"/>
      <c r="AA9" s="1332"/>
      <c r="AB9" s="1332"/>
      <c r="AC9" s="1332"/>
      <c r="AD9" s="1332"/>
      <c r="AE9" s="1332"/>
      <c r="AF9" s="1332"/>
      <c r="AG9" s="1332"/>
      <c r="AH9" s="1332"/>
      <c r="AI9" s="1332"/>
      <c r="AJ9" s="1333"/>
    </row>
    <row r="10" spans="1:36" ht="15" thickBot="1">
      <c r="A10" s="248"/>
      <c r="B10" s="682"/>
      <c r="C10" s="682"/>
      <c r="D10" s="682"/>
      <c r="E10" s="682"/>
      <c r="F10" s="682"/>
      <c r="G10" s="682"/>
      <c r="H10" s="248"/>
      <c r="I10" s="248"/>
      <c r="J10" s="9"/>
      <c r="K10" s="9"/>
      <c r="L10" s="9"/>
      <c r="M10" s="9"/>
      <c r="N10" s="9"/>
      <c r="O10" s="9"/>
      <c r="P10" s="9"/>
      <c r="Q10" s="9"/>
      <c r="R10" s="9"/>
      <c r="S10" s="9"/>
      <c r="T10" s="9"/>
      <c r="U10" s="9"/>
      <c r="V10" s="9"/>
      <c r="W10" s="9"/>
      <c r="X10" s="9"/>
      <c r="Y10" s="9"/>
      <c r="Z10" s="9"/>
      <c r="AA10" s="9"/>
      <c r="AB10" s="9"/>
      <c r="AC10" s="9"/>
      <c r="AD10" s="9"/>
      <c r="AE10" s="9"/>
      <c r="AF10" s="9"/>
      <c r="AG10" s="9"/>
      <c r="AH10" s="9"/>
      <c r="AI10" s="9"/>
      <c r="AJ10" s="248"/>
    </row>
    <row r="11" spans="1:36" ht="39.75" thickBot="1">
      <c r="A11" s="248"/>
      <c r="B11" s="682"/>
      <c r="C11" s="682"/>
      <c r="D11" s="255" t="s">
        <v>2270</v>
      </c>
      <c r="E11" s="15" t="s">
        <v>2271</v>
      </c>
      <c r="F11" s="255" t="s">
        <v>2272</v>
      </c>
      <c r="G11" s="256" t="s">
        <v>2273</v>
      </c>
      <c r="H11" s="248"/>
      <c r="I11" s="248"/>
      <c r="J11" s="1066"/>
      <c r="K11" s="1067"/>
      <c r="L11" s="259" t="s">
        <v>1923</v>
      </c>
      <c r="M11" s="259" t="s">
        <v>1924</v>
      </c>
      <c r="N11" s="259" t="s">
        <v>1925</v>
      </c>
      <c r="O11" s="259" t="s">
        <v>1926</v>
      </c>
      <c r="P11" s="259" t="s">
        <v>1927</v>
      </c>
      <c r="Q11" s="259" t="s">
        <v>1928</v>
      </c>
      <c r="R11" s="259" t="s">
        <v>1929</v>
      </c>
      <c r="S11" s="259" t="s">
        <v>1930</v>
      </c>
      <c r="T11" s="259" t="s">
        <v>1931</v>
      </c>
      <c r="U11" s="259" t="s">
        <v>1932</v>
      </c>
      <c r="V11" s="259" t="s">
        <v>1933</v>
      </c>
      <c r="W11" s="259" t="s">
        <v>1934</v>
      </c>
      <c r="X11" s="259" t="s">
        <v>1935</v>
      </c>
      <c r="Y11" s="259" t="s">
        <v>1936</v>
      </c>
      <c r="Z11" s="259" t="s">
        <v>1937</v>
      </c>
      <c r="AA11" s="259" t="s">
        <v>1938</v>
      </c>
      <c r="AB11" s="259" t="s">
        <v>1939</v>
      </c>
      <c r="AC11" s="259" t="s">
        <v>1940</v>
      </c>
      <c r="AD11" s="259" t="s">
        <v>2281</v>
      </c>
      <c r="AE11" s="1068" t="s">
        <v>2287</v>
      </c>
      <c r="AF11" s="1069" t="s">
        <v>1941</v>
      </c>
      <c r="AG11" s="1443" t="s">
        <v>2288</v>
      </c>
      <c r="AH11" s="1444"/>
      <c r="AI11" s="1444"/>
      <c r="AJ11" s="1445"/>
    </row>
    <row r="12" spans="1:36" ht="34.5">
      <c r="A12" s="248"/>
      <c r="B12" s="1365" t="s">
        <v>2464</v>
      </c>
      <c r="C12" s="1070" t="s">
        <v>2465</v>
      </c>
      <c r="D12" s="263" t="s">
        <v>1942</v>
      </c>
      <c r="E12" s="36" t="s">
        <v>2466</v>
      </c>
      <c r="F12" s="24" t="s">
        <v>2293</v>
      </c>
      <c r="G12" s="264"/>
      <c r="H12" s="251"/>
      <c r="I12" s="248"/>
      <c r="J12" s="1071">
        <v>1</v>
      </c>
      <c r="K12" s="1072" t="s">
        <v>1014</v>
      </c>
      <c r="L12" s="897">
        <v>1</v>
      </c>
      <c r="M12" s="897"/>
      <c r="N12" s="897"/>
      <c r="O12" s="897"/>
      <c r="P12" s="897"/>
      <c r="Q12" s="896" t="s">
        <v>1015</v>
      </c>
      <c r="R12" s="896"/>
      <c r="S12" s="897"/>
      <c r="T12" s="897"/>
      <c r="U12" s="897"/>
      <c r="V12" s="897"/>
      <c r="W12" s="897"/>
      <c r="X12" s="899" t="s">
        <v>1016</v>
      </c>
      <c r="Y12" s="897"/>
      <c r="Z12" s="897"/>
      <c r="AA12" s="897"/>
      <c r="AB12" s="899" t="s">
        <v>1017</v>
      </c>
      <c r="AC12" s="897"/>
      <c r="AD12" s="896" t="s">
        <v>1018</v>
      </c>
      <c r="AE12" s="1073"/>
      <c r="AF12" s="48"/>
      <c r="AG12" s="1439" t="s">
        <v>127</v>
      </c>
      <c r="AH12" s="1440"/>
      <c r="AI12" s="1440"/>
      <c r="AJ12" s="1441"/>
    </row>
    <row r="13" spans="1:36" ht="54">
      <c r="A13" s="248"/>
      <c r="B13" s="1366"/>
      <c r="C13" s="1074" t="s">
        <v>2470</v>
      </c>
      <c r="D13" s="272" t="s">
        <v>1943</v>
      </c>
      <c r="E13" s="36" t="s">
        <v>2472</v>
      </c>
      <c r="F13" s="34" t="s">
        <v>2293</v>
      </c>
      <c r="G13" s="273"/>
      <c r="H13" s="251"/>
      <c r="I13" s="248"/>
      <c r="J13" s="1071">
        <v>2</v>
      </c>
      <c r="K13" s="1072" t="s">
        <v>128</v>
      </c>
      <c r="L13" s="897">
        <v>1</v>
      </c>
      <c r="M13" s="897"/>
      <c r="N13" s="897"/>
      <c r="O13" s="897"/>
      <c r="P13" s="897"/>
      <c r="Q13" s="896" t="s">
        <v>129</v>
      </c>
      <c r="R13" s="896"/>
      <c r="S13" s="897"/>
      <c r="T13" s="897"/>
      <c r="U13" s="897"/>
      <c r="V13" s="897"/>
      <c r="W13" s="897"/>
      <c r="X13" s="899" t="s">
        <v>1016</v>
      </c>
      <c r="Y13" s="897"/>
      <c r="Z13" s="897"/>
      <c r="AA13" s="896" t="s">
        <v>130</v>
      </c>
      <c r="AB13" s="899" t="s">
        <v>1017</v>
      </c>
      <c r="AC13" s="897"/>
      <c r="AD13" s="896"/>
      <c r="AE13" s="1073" t="s">
        <v>131</v>
      </c>
      <c r="AF13" s="48"/>
      <c r="AG13" s="1439" t="s">
        <v>132</v>
      </c>
      <c r="AH13" s="1440"/>
      <c r="AI13" s="1440"/>
      <c r="AJ13" s="1441"/>
    </row>
    <row r="14" spans="1:36" ht="54">
      <c r="A14" s="248"/>
      <c r="B14" s="1366"/>
      <c r="C14" s="1074" t="s">
        <v>2295</v>
      </c>
      <c r="D14" s="272" t="s">
        <v>1944</v>
      </c>
      <c r="E14" s="36" t="s">
        <v>2297</v>
      </c>
      <c r="F14" s="34" t="s">
        <v>2293</v>
      </c>
      <c r="G14" s="273"/>
      <c r="H14" s="251"/>
      <c r="I14" s="248"/>
      <c r="J14" s="1071" t="s">
        <v>2475</v>
      </c>
      <c r="K14" s="1072" t="s">
        <v>133</v>
      </c>
      <c r="L14" s="897" t="s">
        <v>2467</v>
      </c>
      <c r="M14" s="897"/>
      <c r="N14" s="897"/>
      <c r="O14" s="897"/>
      <c r="P14" s="897"/>
      <c r="Q14" s="896" t="s">
        <v>1015</v>
      </c>
      <c r="R14" s="896"/>
      <c r="S14" s="897"/>
      <c r="T14" s="897"/>
      <c r="U14" s="897"/>
      <c r="V14" s="897"/>
      <c r="W14" s="897"/>
      <c r="X14" s="899" t="s">
        <v>1016</v>
      </c>
      <c r="Y14" s="897"/>
      <c r="Z14" s="897"/>
      <c r="AA14" s="899" t="s">
        <v>1017</v>
      </c>
      <c r="AB14" s="897"/>
      <c r="AC14" s="897"/>
      <c r="AD14" s="1075" t="s">
        <v>134</v>
      </c>
      <c r="AE14" s="1073"/>
      <c r="AF14" s="1076"/>
      <c r="AG14" s="1439" t="s">
        <v>135</v>
      </c>
      <c r="AH14" s="1440"/>
      <c r="AI14" s="1440"/>
      <c r="AJ14" s="1441"/>
    </row>
    <row r="15" spans="1:36" ht="58.5">
      <c r="A15" s="248"/>
      <c r="B15" s="1366"/>
      <c r="C15" s="1074" t="s">
        <v>2299</v>
      </c>
      <c r="D15" s="272" t="s">
        <v>2300</v>
      </c>
      <c r="E15" s="36" t="s">
        <v>2301</v>
      </c>
      <c r="F15" s="37" t="s">
        <v>2302</v>
      </c>
      <c r="G15" s="273"/>
      <c r="H15" s="251"/>
      <c r="I15" s="248"/>
      <c r="J15" s="1071">
        <v>4</v>
      </c>
      <c r="K15" s="1072" t="s">
        <v>136</v>
      </c>
      <c r="L15" s="897">
        <v>1</v>
      </c>
      <c r="M15" s="897"/>
      <c r="N15" s="897"/>
      <c r="O15" s="897"/>
      <c r="P15" s="897"/>
      <c r="Q15" s="1075" t="s">
        <v>137</v>
      </c>
      <c r="R15" s="896"/>
      <c r="S15" s="897"/>
      <c r="T15" s="897"/>
      <c r="U15" s="897"/>
      <c r="V15" s="897"/>
      <c r="W15" s="897"/>
      <c r="X15" s="899" t="s">
        <v>1016</v>
      </c>
      <c r="Y15" s="897"/>
      <c r="Z15" s="897"/>
      <c r="AA15" s="896" t="s">
        <v>138</v>
      </c>
      <c r="AB15" s="897"/>
      <c r="AC15" s="897"/>
      <c r="AD15" s="896"/>
      <c r="AE15" s="1073" t="s">
        <v>131</v>
      </c>
      <c r="AF15" s="1076"/>
      <c r="AG15" s="1439" t="s">
        <v>139</v>
      </c>
      <c r="AH15" s="1440"/>
      <c r="AI15" s="1440"/>
      <c r="AJ15" s="1441"/>
    </row>
    <row r="16" spans="1:36" ht="34.5">
      <c r="A16" s="248"/>
      <c r="B16" s="1366"/>
      <c r="C16" s="1074" t="s">
        <v>1945</v>
      </c>
      <c r="D16" s="272" t="s">
        <v>1946</v>
      </c>
      <c r="E16" s="36" t="s">
        <v>2306</v>
      </c>
      <c r="F16" s="34" t="s">
        <v>2293</v>
      </c>
      <c r="G16" s="273"/>
      <c r="H16" s="251"/>
      <c r="I16" s="248"/>
      <c r="J16" s="1071" t="s">
        <v>2479</v>
      </c>
      <c r="K16" s="1072" t="s">
        <v>140</v>
      </c>
      <c r="L16" s="897" t="s">
        <v>2467</v>
      </c>
      <c r="M16" s="897"/>
      <c r="N16" s="897"/>
      <c r="O16" s="897"/>
      <c r="P16" s="897"/>
      <c r="Q16" s="896"/>
      <c r="R16" s="896" t="s">
        <v>1015</v>
      </c>
      <c r="S16" s="897"/>
      <c r="T16" s="897"/>
      <c r="U16" s="897"/>
      <c r="V16" s="897"/>
      <c r="W16" s="897"/>
      <c r="X16" s="899" t="s">
        <v>1016</v>
      </c>
      <c r="Y16" s="897"/>
      <c r="Z16" s="897"/>
      <c r="AA16" s="896"/>
      <c r="AB16" s="899" t="s">
        <v>1017</v>
      </c>
      <c r="AC16" s="897"/>
      <c r="AD16" s="896" t="s">
        <v>1018</v>
      </c>
      <c r="AE16" s="1073"/>
      <c r="AF16" s="1076"/>
      <c r="AG16" s="1439" t="s">
        <v>141</v>
      </c>
      <c r="AH16" s="1440"/>
      <c r="AI16" s="1440"/>
      <c r="AJ16" s="1441"/>
    </row>
    <row r="17" spans="1:36" ht="54">
      <c r="A17" s="248"/>
      <c r="B17" s="1366"/>
      <c r="C17" s="1074" t="s">
        <v>2309</v>
      </c>
      <c r="D17" s="272" t="s">
        <v>1947</v>
      </c>
      <c r="E17" s="36" t="s">
        <v>2311</v>
      </c>
      <c r="F17" s="34" t="s">
        <v>2293</v>
      </c>
      <c r="G17" s="273"/>
      <c r="H17" s="251"/>
      <c r="I17" s="248"/>
      <c r="J17" s="1071">
        <v>6</v>
      </c>
      <c r="K17" s="1072" t="s">
        <v>142</v>
      </c>
      <c r="L17" s="897">
        <v>1</v>
      </c>
      <c r="M17" s="897"/>
      <c r="N17" s="897"/>
      <c r="O17" s="897"/>
      <c r="P17" s="897"/>
      <c r="Q17" s="896"/>
      <c r="R17" s="896" t="s">
        <v>129</v>
      </c>
      <c r="S17" s="897"/>
      <c r="T17" s="897"/>
      <c r="U17" s="897"/>
      <c r="V17" s="897"/>
      <c r="W17" s="897"/>
      <c r="X17" s="899" t="s">
        <v>1016</v>
      </c>
      <c r="Y17" s="897"/>
      <c r="Z17" s="897"/>
      <c r="AA17" s="896" t="s">
        <v>130</v>
      </c>
      <c r="AB17" s="899" t="s">
        <v>1017</v>
      </c>
      <c r="AC17" s="897"/>
      <c r="AD17" s="896"/>
      <c r="AE17" s="1073" t="s">
        <v>131</v>
      </c>
      <c r="AF17" s="1076"/>
      <c r="AG17" s="1439" t="s">
        <v>143</v>
      </c>
      <c r="AH17" s="1440"/>
      <c r="AI17" s="1440"/>
      <c r="AJ17" s="1441"/>
    </row>
    <row r="18" spans="1:36" ht="54">
      <c r="A18" s="248"/>
      <c r="B18" s="1366"/>
      <c r="C18" s="1074" t="s">
        <v>2313</v>
      </c>
      <c r="D18" s="272" t="s">
        <v>1948</v>
      </c>
      <c r="E18" s="36" t="s">
        <v>2315</v>
      </c>
      <c r="F18" s="34" t="s">
        <v>2293</v>
      </c>
      <c r="G18" s="273"/>
      <c r="H18" s="251"/>
      <c r="I18" s="248"/>
      <c r="J18" s="1071" t="s">
        <v>2484</v>
      </c>
      <c r="K18" s="1072" t="s">
        <v>144</v>
      </c>
      <c r="L18" s="897" t="s">
        <v>2467</v>
      </c>
      <c r="M18" s="897"/>
      <c r="N18" s="897"/>
      <c r="O18" s="897"/>
      <c r="P18" s="897"/>
      <c r="Q18" s="896"/>
      <c r="R18" s="896" t="s">
        <v>1015</v>
      </c>
      <c r="S18" s="897"/>
      <c r="T18" s="897"/>
      <c r="U18" s="897"/>
      <c r="V18" s="897"/>
      <c r="W18" s="897"/>
      <c r="X18" s="899" t="s">
        <v>1016</v>
      </c>
      <c r="Y18" s="897"/>
      <c r="Z18" s="897"/>
      <c r="AA18" s="899" t="s">
        <v>1017</v>
      </c>
      <c r="AB18" s="897"/>
      <c r="AC18" s="897"/>
      <c r="AD18" s="1075" t="s">
        <v>134</v>
      </c>
      <c r="AE18" s="1073"/>
      <c r="AF18" s="1076"/>
      <c r="AG18" s="1439" t="s">
        <v>145</v>
      </c>
      <c r="AH18" s="1440"/>
      <c r="AI18" s="1440"/>
      <c r="AJ18" s="1441"/>
    </row>
    <row r="19" spans="1:36" ht="58.5">
      <c r="A19" s="248"/>
      <c r="B19" s="1366"/>
      <c r="C19" s="1074" t="s">
        <v>2078</v>
      </c>
      <c r="D19" s="272" t="s">
        <v>1949</v>
      </c>
      <c r="E19" s="36" t="s">
        <v>2319</v>
      </c>
      <c r="F19" s="34" t="s">
        <v>2320</v>
      </c>
      <c r="G19" s="273"/>
      <c r="H19" s="251"/>
      <c r="I19" s="248"/>
      <c r="J19" s="1071">
        <v>8</v>
      </c>
      <c r="K19" s="1072" t="s">
        <v>146</v>
      </c>
      <c r="L19" s="897">
        <v>1</v>
      </c>
      <c r="M19" s="897"/>
      <c r="N19" s="897"/>
      <c r="O19" s="897"/>
      <c r="P19" s="897"/>
      <c r="Q19" s="896"/>
      <c r="R19" s="1075" t="s">
        <v>137</v>
      </c>
      <c r="S19" s="897"/>
      <c r="T19" s="897"/>
      <c r="U19" s="897"/>
      <c r="V19" s="897"/>
      <c r="W19" s="897"/>
      <c r="X19" s="899" t="s">
        <v>1016</v>
      </c>
      <c r="Y19" s="897"/>
      <c r="Z19" s="897"/>
      <c r="AA19" s="896" t="s">
        <v>138</v>
      </c>
      <c r="AB19" s="897"/>
      <c r="AC19" s="897"/>
      <c r="AD19" s="897"/>
      <c r="AE19" s="1073" t="s">
        <v>131</v>
      </c>
      <c r="AF19" s="1076"/>
      <c r="AG19" s="1439" t="s">
        <v>147</v>
      </c>
      <c r="AH19" s="1440"/>
      <c r="AI19" s="1440"/>
      <c r="AJ19" s="1441"/>
    </row>
    <row r="20" spans="1:36" ht="39">
      <c r="A20" s="248"/>
      <c r="B20" s="1366"/>
      <c r="C20" s="58" t="s">
        <v>1035</v>
      </c>
      <c r="D20" s="272" t="s">
        <v>1950</v>
      </c>
      <c r="E20" s="36" t="s">
        <v>2323</v>
      </c>
      <c r="F20" s="34" t="s">
        <v>2320</v>
      </c>
      <c r="G20" s="273"/>
      <c r="H20" s="251"/>
      <c r="I20" s="248"/>
      <c r="J20" s="1071" t="s">
        <v>2493</v>
      </c>
      <c r="K20" s="1072" t="s">
        <v>148</v>
      </c>
      <c r="L20" s="897" t="s">
        <v>2488</v>
      </c>
      <c r="M20" s="897"/>
      <c r="N20" s="897"/>
      <c r="O20" s="280" t="s">
        <v>1951</v>
      </c>
      <c r="P20" s="899" t="s">
        <v>149</v>
      </c>
      <c r="Q20" s="897"/>
      <c r="R20" s="897"/>
      <c r="S20" s="897"/>
      <c r="T20" s="897"/>
      <c r="U20" s="897"/>
      <c r="V20" s="897"/>
      <c r="W20" s="897"/>
      <c r="X20" s="279" t="s">
        <v>150</v>
      </c>
      <c r="Y20" s="279" t="s">
        <v>151</v>
      </c>
      <c r="Z20" s="897"/>
      <c r="AA20" s="897"/>
      <c r="AB20" s="897"/>
      <c r="AC20" s="897"/>
      <c r="AD20" s="897"/>
      <c r="AE20" s="1077"/>
      <c r="AF20" s="48"/>
      <c r="AG20" s="1439" t="s">
        <v>152</v>
      </c>
      <c r="AH20" s="1440"/>
      <c r="AI20" s="1440"/>
      <c r="AJ20" s="1441"/>
    </row>
    <row r="21" spans="1:36" ht="19.5">
      <c r="A21" s="248"/>
      <c r="B21" s="1366"/>
      <c r="C21" s="1074" t="s">
        <v>2325</v>
      </c>
      <c r="D21" s="272" t="s">
        <v>1952</v>
      </c>
      <c r="E21" s="36" t="s">
        <v>2327</v>
      </c>
      <c r="F21" s="34" t="s">
        <v>2320</v>
      </c>
      <c r="G21" s="273"/>
      <c r="H21" s="251"/>
      <c r="I21" s="248"/>
      <c r="J21" s="1078" t="s">
        <v>2499</v>
      </c>
      <c r="K21" s="1079" t="s">
        <v>153</v>
      </c>
      <c r="L21" s="885"/>
      <c r="M21" s="885"/>
      <c r="N21" s="885"/>
      <c r="O21" s="885"/>
      <c r="P21" s="885" t="s">
        <v>2488</v>
      </c>
      <c r="Q21" s="885" t="s">
        <v>2467</v>
      </c>
      <c r="R21" s="885"/>
      <c r="S21" s="885"/>
      <c r="T21" s="885"/>
      <c r="U21" s="885"/>
      <c r="V21" s="885"/>
      <c r="W21" s="885"/>
      <c r="X21" s="885"/>
      <c r="Y21" s="885"/>
      <c r="Z21" s="885"/>
      <c r="AA21" s="885"/>
      <c r="AB21" s="885"/>
      <c r="AC21" s="885"/>
      <c r="AD21" s="885"/>
      <c r="AE21" s="1080"/>
      <c r="AF21" s="57"/>
      <c r="AG21" s="1439" t="s">
        <v>154</v>
      </c>
      <c r="AH21" s="1440"/>
      <c r="AI21" s="1440"/>
      <c r="AJ21" s="1441"/>
    </row>
    <row r="22" spans="1:36" ht="19.5">
      <c r="A22" s="248"/>
      <c r="B22" s="1366"/>
      <c r="C22" s="1074" t="s">
        <v>2329</v>
      </c>
      <c r="D22" s="272" t="s">
        <v>1953</v>
      </c>
      <c r="E22" s="36" t="s">
        <v>2331</v>
      </c>
      <c r="F22" s="34" t="s">
        <v>2320</v>
      </c>
      <c r="G22" s="273"/>
      <c r="H22" s="251"/>
      <c r="I22" s="248"/>
      <c r="J22" s="1078" t="s">
        <v>2502</v>
      </c>
      <c r="K22" s="1079" t="s">
        <v>155</v>
      </c>
      <c r="L22" s="885"/>
      <c r="M22" s="885"/>
      <c r="N22" s="885"/>
      <c r="O22" s="885"/>
      <c r="P22" s="885" t="s">
        <v>2488</v>
      </c>
      <c r="Q22" s="268" t="s">
        <v>1954</v>
      </c>
      <c r="R22" s="885"/>
      <c r="S22" s="885"/>
      <c r="T22" s="885"/>
      <c r="U22" s="885"/>
      <c r="V22" s="885"/>
      <c r="W22" s="885"/>
      <c r="X22" s="885"/>
      <c r="Y22" s="885"/>
      <c r="Z22" s="885"/>
      <c r="AA22" s="885"/>
      <c r="AB22" s="885"/>
      <c r="AC22" s="885"/>
      <c r="AD22" s="885"/>
      <c r="AE22" s="1080"/>
      <c r="AF22" s="1081" t="s">
        <v>156</v>
      </c>
      <c r="AG22" s="1439" t="s">
        <v>157</v>
      </c>
      <c r="AH22" s="1440"/>
      <c r="AI22" s="1440"/>
      <c r="AJ22" s="1441"/>
    </row>
    <row r="23" spans="1:36" ht="19.5">
      <c r="A23" s="248"/>
      <c r="B23" s="1366"/>
      <c r="C23" s="1074" t="s">
        <v>1955</v>
      </c>
      <c r="D23" s="272" t="s">
        <v>1956</v>
      </c>
      <c r="E23" s="36" t="s">
        <v>1957</v>
      </c>
      <c r="F23" s="34" t="s">
        <v>2320</v>
      </c>
      <c r="G23" s="273"/>
      <c r="H23" s="251"/>
      <c r="I23" s="248"/>
      <c r="J23" s="1078" t="s">
        <v>2082</v>
      </c>
      <c r="K23" s="1079" t="s">
        <v>158</v>
      </c>
      <c r="L23" s="885"/>
      <c r="M23" s="885"/>
      <c r="N23" s="885"/>
      <c r="O23" s="885"/>
      <c r="P23" s="885" t="s">
        <v>2488</v>
      </c>
      <c r="Q23" s="268" t="s">
        <v>1958</v>
      </c>
      <c r="R23" s="885"/>
      <c r="S23" s="885"/>
      <c r="T23" s="885"/>
      <c r="U23" s="885"/>
      <c r="V23" s="885"/>
      <c r="W23" s="885"/>
      <c r="X23" s="885"/>
      <c r="Y23" s="885"/>
      <c r="Z23" s="885"/>
      <c r="AA23" s="885"/>
      <c r="AB23" s="885"/>
      <c r="AC23" s="885"/>
      <c r="AD23" s="885"/>
      <c r="AE23" s="1080"/>
      <c r="AF23" s="1081" t="s">
        <v>159</v>
      </c>
      <c r="AG23" s="1439" t="s">
        <v>160</v>
      </c>
      <c r="AH23" s="1440"/>
      <c r="AI23" s="1440"/>
      <c r="AJ23" s="1441"/>
    </row>
    <row r="24" spans="1:36" ht="19.5">
      <c r="A24" s="248"/>
      <c r="B24" s="1366"/>
      <c r="C24" s="1074" t="s">
        <v>2137</v>
      </c>
      <c r="D24" s="272" t="s">
        <v>1959</v>
      </c>
      <c r="E24" s="36" t="s">
        <v>2497</v>
      </c>
      <c r="F24" s="34" t="s">
        <v>2498</v>
      </c>
      <c r="G24" s="273"/>
      <c r="H24" s="251"/>
      <c r="I24" s="248"/>
      <c r="J24" s="1078" t="s">
        <v>2234</v>
      </c>
      <c r="K24" s="1079" t="s">
        <v>1960</v>
      </c>
      <c r="L24" s="885"/>
      <c r="M24" s="885"/>
      <c r="N24" s="885"/>
      <c r="O24" s="885"/>
      <c r="P24" s="885"/>
      <c r="Q24" s="885"/>
      <c r="R24" s="885"/>
      <c r="S24" s="885"/>
      <c r="T24" s="885"/>
      <c r="U24" s="885"/>
      <c r="V24" s="885"/>
      <c r="W24" s="885"/>
      <c r="X24" s="885"/>
      <c r="Y24" s="885" t="s">
        <v>2488</v>
      </c>
      <c r="Z24" s="885" t="s">
        <v>2467</v>
      </c>
      <c r="AA24" s="885"/>
      <c r="AB24" s="885"/>
      <c r="AC24" s="885"/>
      <c r="AD24" s="885"/>
      <c r="AE24" s="1080"/>
      <c r="AF24" s="57"/>
      <c r="AG24" s="1442" t="s">
        <v>161</v>
      </c>
      <c r="AH24" s="1440"/>
      <c r="AI24" s="1440"/>
      <c r="AJ24" s="1441"/>
    </row>
    <row r="25" spans="1:36" ht="19.5">
      <c r="A25" s="248"/>
      <c r="B25" s="1366"/>
      <c r="C25" s="1074" t="s">
        <v>2335</v>
      </c>
      <c r="D25" s="272" t="s">
        <v>1961</v>
      </c>
      <c r="E25" s="36" t="s">
        <v>2337</v>
      </c>
      <c r="F25" s="34" t="s">
        <v>2293</v>
      </c>
      <c r="G25" s="273"/>
      <c r="H25" s="251"/>
      <c r="I25" s="248"/>
      <c r="J25" s="1078" t="s">
        <v>2237</v>
      </c>
      <c r="K25" s="1079" t="s">
        <v>1962</v>
      </c>
      <c r="L25" s="885"/>
      <c r="M25" s="885"/>
      <c r="N25" s="885"/>
      <c r="O25" s="885"/>
      <c r="P25" s="885"/>
      <c r="Q25" s="885"/>
      <c r="R25" s="885"/>
      <c r="S25" s="885"/>
      <c r="T25" s="885"/>
      <c r="U25" s="885"/>
      <c r="V25" s="885"/>
      <c r="W25" s="885"/>
      <c r="X25" s="885"/>
      <c r="Y25" s="885"/>
      <c r="Z25" s="885" t="s">
        <v>2488</v>
      </c>
      <c r="AA25" s="885"/>
      <c r="AB25" s="885" t="s">
        <v>2467</v>
      </c>
      <c r="AC25" s="885"/>
      <c r="AD25" s="885"/>
      <c r="AE25" s="1080"/>
      <c r="AF25" s="57"/>
      <c r="AG25" s="1439" t="s">
        <v>162</v>
      </c>
      <c r="AH25" s="1440"/>
      <c r="AI25" s="1440"/>
      <c r="AJ25" s="1441"/>
    </row>
    <row r="26" spans="1:36" ht="54">
      <c r="A26" s="248"/>
      <c r="B26" s="1366"/>
      <c r="C26" s="1074" t="s">
        <v>2341</v>
      </c>
      <c r="D26" s="272" t="s">
        <v>1963</v>
      </c>
      <c r="E26" s="36" t="s">
        <v>2343</v>
      </c>
      <c r="F26" s="34" t="s">
        <v>2293</v>
      </c>
      <c r="G26" s="273"/>
      <c r="H26" s="251"/>
      <c r="I26" s="248"/>
      <c r="J26" s="1078" t="s">
        <v>2241</v>
      </c>
      <c r="K26" s="1079" t="s">
        <v>163</v>
      </c>
      <c r="L26" s="268" t="s">
        <v>1964</v>
      </c>
      <c r="M26" s="885"/>
      <c r="N26" s="885"/>
      <c r="O26" s="885"/>
      <c r="P26" s="885"/>
      <c r="Q26" s="885" t="s">
        <v>2488</v>
      </c>
      <c r="R26" s="886" t="s">
        <v>164</v>
      </c>
      <c r="S26" s="885"/>
      <c r="T26" s="885"/>
      <c r="U26" s="885"/>
      <c r="V26" s="885"/>
      <c r="W26" s="885"/>
      <c r="X26" s="886" t="s">
        <v>165</v>
      </c>
      <c r="Y26" s="885"/>
      <c r="Z26" s="885"/>
      <c r="AA26" s="885"/>
      <c r="AB26" s="886" t="s">
        <v>166</v>
      </c>
      <c r="AC26" s="885"/>
      <c r="AD26" s="885"/>
      <c r="AE26" s="1080"/>
      <c r="AF26" s="1081" t="s">
        <v>167</v>
      </c>
      <c r="AG26" s="1439" t="s">
        <v>168</v>
      </c>
      <c r="AH26" s="1440"/>
      <c r="AI26" s="1440"/>
      <c r="AJ26" s="1441"/>
    </row>
    <row r="27" spans="1:36" ht="39">
      <c r="A27" s="248"/>
      <c r="B27" s="1366"/>
      <c r="C27" s="1074" t="s">
        <v>2505</v>
      </c>
      <c r="D27" s="272" t="s">
        <v>1965</v>
      </c>
      <c r="E27" s="36" t="s">
        <v>2506</v>
      </c>
      <c r="F27" s="34" t="s">
        <v>2293</v>
      </c>
      <c r="G27" s="273"/>
      <c r="H27" s="251"/>
      <c r="I27" s="248"/>
      <c r="J27" s="1082" t="s">
        <v>2244</v>
      </c>
      <c r="K27" s="1083" t="s">
        <v>169</v>
      </c>
      <c r="L27" s="925"/>
      <c r="M27" s="925" t="s">
        <v>2467</v>
      </c>
      <c r="N27" s="925"/>
      <c r="O27" s="925"/>
      <c r="P27" s="925"/>
      <c r="Q27" s="925"/>
      <c r="R27" s="925"/>
      <c r="S27" s="925"/>
      <c r="T27" s="925"/>
      <c r="U27" s="925"/>
      <c r="V27" s="925"/>
      <c r="W27" s="925"/>
      <c r="X27" s="926" t="s">
        <v>170</v>
      </c>
      <c r="Y27" s="925"/>
      <c r="Z27" s="925"/>
      <c r="AA27" s="924" t="s">
        <v>1187</v>
      </c>
      <c r="AB27" s="924" t="s">
        <v>171</v>
      </c>
      <c r="AC27" s="924"/>
      <c r="AD27" s="924" t="s">
        <v>819</v>
      </c>
      <c r="AE27" s="1084"/>
      <c r="AF27" s="51"/>
      <c r="AG27" s="1439" t="s">
        <v>172</v>
      </c>
      <c r="AH27" s="1440"/>
      <c r="AI27" s="1440"/>
      <c r="AJ27" s="1441"/>
    </row>
    <row r="28" spans="1:36" ht="39">
      <c r="A28" s="248"/>
      <c r="B28" s="1366"/>
      <c r="C28" s="1074" t="s">
        <v>2139</v>
      </c>
      <c r="D28" s="272" t="s">
        <v>1966</v>
      </c>
      <c r="E28" s="36" t="s">
        <v>2509</v>
      </c>
      <c r="F28" s="34" t="s">
        <v>2293</v>
      </c>
      <c r="G28" s="273"/>
      <c r="H28" s="251"/>
      <c r="I28" s="248"/>
      <c r="J28" s="1082">
        <v>17</v>
      </c>
      <c r="K28" s="1083" t="s">
        <v>173</v>
      </c>
      <c r="L28" s="925"/>
      <c r="M28" s="925">
        <v>-1</v>
      </c>
      <c r="N28" s="925"/>
      <c r="O28" s="303" t="s">
        <v>1967</v>
      </c>
      <c r="P28" s="926" t="s">
        <v>174</v>
      </c>
      <c r="Q28" s="925"/>
      <c r="R28" s="925"/>
      <c r="S28" s="925"/>
      <c r="T28" s="925"/>
      <c r="U28" s="925"/>
      <c r="V28" s="925"/>
      <c r="W28" s="925"/>
      <c r="X28" s="303" t="s">
        <v>175</v>
      </c>
      <c r="Y28" s="309" t="s">
        <v>176</v>
      </c>
      <c r="Z28" s="925"/>
      <c r="AA28" s="925"/>
      <c r="AB28" s="925"/>
      <c r="AC28" s="925"/>
      <c r="AD28" s="925"/>
      <c r="AE28" s="1085"/>
      <c r="AF28" s="51"/>
      <c r="AG28" s="1439" t="s">
        <v>177</v>
      </c>
      <c r="AH28" s="1440"/>
      <c r="AI28" s="1440"/>
      <c r="AJ28" s="1441"/>
    </row>
    <row r="29" spans="1:36" ht="54">
      <c r="A29" s="248"/>
      <c r="B29" s="1366"/>
      <c r="C29" s="1074" t="s">
        <v>1968</v>
      </c>
      <c r="D29" s="272" t="s">
        <v>178</v>
      </c>
      <c r="E29" s="36" t="s">
        <v>1969</v>
      </c>
      <c r="F29" s="34" t="s">
        <v>2498</v>
      </c>
      <c r="G29" s="273"/>
      <c r="H29" s="251"/>
      <c r="I29" s="248"/>
      <c r="J29" s="1086">
        <v>18</v>
      </c>
      <c r="K29" s="1087" t="s">
        <v>179</v>
      </c>
      <c r="L29" s="904"/>
      <c r="M29" s="904"/>
      <c r="N29" s="904">
        <v>1</v>
      </c>
      <c r="O29" s="904"/>
      <c r="P29" s="904"/>
      <c r="Q29" s="904"/>
      <c r="R29" s="904"/>
      <c r="S29" s="903" t="s">
        <v>180</v>
      </c>
      <c r="T29" s="904"/>
      <c r="U29" s="904"/>
      <c r="V29" s="297" t="s">
        <v>181</v>
      </c>
      <c r="W29" s="908" t="s">
        <v>182</v>
      </c>
      <c r="X29" s="903" t="s">
        <v>183</v>
      </c>
      <c r="Y29" s="904"/>
      <c r="Z29" s="904"/>
      <c r="AA29" s="904"/>
      <c r="AB29" s="905" t="s">
        <v>184</v>
      </c>
      <c r="AC29" s="904"/>
      <c r="AD29" s="903" t="s">
        <v>185</v>
      </c>
      <c r="AE29" s="1088"/>
      <c r="AF29" s="1089"/>
      <c r="AG29" s="1439" t="s">
        <v>186</v>
      </c>
      <c r="AH29" s="1440"/>
      <c r="AI29" s="1440"/>
      <c r="AJ29" s="1441"/>
    </row>
    <row r="30" spans="1:36" ht="54.75" thickBot="1">
      <c r="A30" s="248"/>
      <c r="B30" s="1366"/>
      <c r="C30" s="719" t="s">
        <v>1970</v>
      </c>
      <c r="D30" s="554" t="s">
        <v>187</v>
      </c>
      <c r="E30" s="554" t="s">
        <v>1971</v>
      </c>
      <c r="F30" s="1090" t="s">
        <v>2498</v>
      </c>
      <c r="G30" s="555"/>
      <c r="H30" s="251"/>
      <c r="I30" s="248"/>
      <c r="J30" s="1086" t="s">
        <v>2252</v>
      </c>
      <c r="K30" s="1087" t="s">
        <v>188</v>
      </c>
      <c r="L30" s="904"/>
      <c r="M30" s="904"/>
      <c r="N30" s="904" t="s">
        <v>2467</v>
      </c>
      <c r="O30" s="904"/>
      <c r="P30" s="904"/>
      <c r="Q30" s="904"/>
      <c r="R30" s="904"/>
      <c r="S30" s="903" t="s">
        <v>180</v>
      </c>
      <c r="T30" s="904"/>
      <c r="U30" s="904"/>
      <c r="V30" s="297" t="s">
        <v>181</v>
      </c>
      <c r="W30" s="908" t="s">
        <v>182</v>
      </c>
      <c r="X30" s="903" t="s">
        <v>183</v>
      </c>
      <c r="Y30" s="904"/>
      <c r="Z30" s="904"/>
      <c r="AA30" s="905" t="s">
        <v>184</v>
      </c>
      <c r="AB30" s="904"/>
      <c r="AC30" s="904"/>
      <c r="AD30" s="1091" t="s">
        <v>189</v>
      </c>
      <c r="AE30" s="1088"/>
      <c r="AF30" s="1089"/>
      <c r="AG30" s="1439" t="s">
        <v>190</v>
      </c>
      <c r="AH30" s="1440"/>
      <c r="AI30" s="1440"/>
      <c r="AJ30" s="1441"/>
    </row>
    <row r="31" spans="1:36" ht="28.5">
      <c r="A31" s="248"/>
      <c r="B31" s="1365" t="s">
        <v>2349</v>
      </c>
      <c r="C31" s="1092" t="s">
        <v>1972</v>
      </c>
      <c r="D31" s="558" t="s">
        <v>1973</v>
      </c>
      <c r="E31" s="1093" t="s">
        <v>1974</v>
      </c>
      <c r="F31" s="1094" t="s">
        <v>191</v>
      </c>
      <c r="G31" s="314">
        <v>0.9</v>
      </c>
      <c r="H31" s="251"/>
      <c r="I31" s="248"/>
      <c r="J31" s="1086" t="s">
        <v>2254</v>
      </c>
      <c r="K31" s="1087" t="s">
        <v>192</v>
      </c>
      <c r="L31" s="904"/>
      <c r="M31" s="904"/>
      <c r="N31" s="904" t="s">
        <v>2467</v>
      </c>
      <c r="O31" s="904"/>
      <c r="P31" s="904"/>
      <c r="Q31" s="904"/>
      <c r="R31" s="904"/>
      <c r="S31" s="903" t="s">
        <v>180</v>
      </c>
      <c r="T31" s="904"/>
      <c r="U31" s="904"/>
      <c r="V31" s="905" t="s">
        <v>193</v>
      </c>
      <c r="W31" s="904"/>
      <c r="X31" s="904"/>
      <c r="Y31" s="904"/>
      <c r="Z31" s="904"/>
      <c r="AA31" s="904"/>
      <c r="AB31" s="905" t="s">
        <v>184</v>
      </c>
      <c r="AC31" s="904"/>
      <c r="AD31" s="903" t="s">
        <v>185</v>
      </c>
      <c r="AE31" s="1088"/>
      <c r="AF31" s="1089"/>
      <c r="AG31" s="1439" t="s">
        <v>194</v>
      </c>
      <c r="AH31" s="1440"/>
      <c r="AI31" s="1440"/>
      <c r="AJ31" s="1441"/>
    </row>
    <row r="32" spans="1:36" ht="39">
      <c r="A32" s="248"/>
      <c r="B32" s="1366"/>
      <c r="C32" s="596" t="s">
        <v>1975</v>
      </c>
      <c r="D32" s="594" t="s">
        <v>1976</v>
      </c>
      <c r="E32" s="1095" t="s">
        <v>1977</v>
      </c>
      <c r="F32" s="986" t="s">
        <v>191</v>
      </c>
      <c r="G32" s="597">
        <v>0.6</v>
      </c>
      <c r="H32" s="251"/>
      <c r="I32" s="248"/>
      <c r="J32" s="1086" t="s">
        <v>2258</v>
      </c>
      <c r="K32" s="1087" t="s">
        <v>195</v>
      </c>
      <c r="L32" s="904"/>
      <c r="M32" s="904"/>
      <c r="N32" s="904" t="s">
        <v>2467</v>
      </c>
      <c r="O32" s="904"/>
      <c r="P32" s="904"/>
      <c r="Q32" s="904"/>
      <c r="R32" s="904"/>
      <c r="S32" s="903" t="s">
        <v>180</v>
      </c>
      <c r="T32" s="904"/>
      <c r="U32" s="904"/>
      <c r="V32" s="905" t="s">
        <v>193</v>
      </c>
      <c r="W32" s="904"/>
      <c r="X32" s="904"/>
      <c r="Y32" s="904"/>
      <c r="Z32" s="904"/>
      <c r="AA32" s="905" t="s">
        <v>184</v>
      </c>
      <c r="AB32" s="904"/>
      <c r="AC32" s="904"/>
      <c r="AD32" s="1091" t="s">
        <v>189</v>
      </c>
      <c r="AE32" s="1088"/>
      <c r="AF32" s="1089"/>
      <c r="AG32" s="1439" t="s">
        <v>196</v>
      </c>
      <c r="AH32" s="1440"/>
      <c r="AI32" s="1440"/>
      <c r="AJ32" s="1441"/>
    </row>
    <row r="33" spans="1:36" ht="54">
      <c r="A33" s="248"/>
      <c r="B33" s="1366"/>
      <c r="C33" s="918" t="s">
        <v>197</v>
      </c>
      <c r="D33" s="125" t="s">
        <v>1978</v>
      </c>
      <c r="E33" s="1096" t="s">
        <v>1979</v>
      </c>
      <c r="F33" s="724" t="s">
        <v>1040</v>
      </c>
      <c r="G33" s="322">
        <v>0.666</v>
      </c>
      <c r="H33" s="251"/>
      <c r="I33" s="248"/>
      <c r="J33" s="1086" t="s">
        <v>1763</v>
      </c>
      <c r="K33" s="1087" t="s">
        <v>198</v>
      </c>
      <c r="L33" s="904"/>
      <c r="M33" s="904"/>
      <c r="N33" s="904" t="s">
        <v>2467</v>
      </c>
      <c r="O33" s="904"/>
      <c r="P33" s="904"/>
      <c r="Q33" s="904"/>
      <c r="R33" s="904"/>
      <c r="S33" s="903" t="s">
        <v>180</v>
      </c>
      <c r="T33" s="904"/>
      <c r="U33" s="904"/>
      <c r="V33" s="297" t="s">
        <v>199</v>
      </c>
      <c r="W33" s="908" t="s">
        <v>200</v>
      </c>
      <c r="X33" s="903" t="s">
        <v>201</v>
      </c>
      <c r="Y33" s="904"/>
      <c r="Z33" s="904"/>
      <c r="AA33" s="903" t="s">
        <v>202</v>
      </c>
      <c r="AB33" s="905" t="s">
        <v>184</v>
      </c>
      <c r="AC33" s="904"/>
      <c r="AD33" s="904"/>
      <c r="AE33" s="1097" t="s">
        <v>203</v>
      </c>
      <c r="AF33" s="1089"/>
      <c r="AG33" s="1439" t="s">
        <v>204</v>
      </c>
      <c r="AH33" s="1440"/>
      <c r="AI33" s="1440"/>
      <c r="AJ33" s="1441"/>
    </row>
    <row r="34" spans="1:36" ht="39">
      <c r="A34" s="248"/>
      <c r="B34" s="1366"/>
      <c r="C34" s="918" t="s">
        <v>205</v>
      </c>
      <c r="D34" s="125" t="s">
        <v>1980</v>
      </c>
      <c r="E34" s="1096" t="s">
        <v>1981</v>
      </c>
      <c r="F34" s="724" t="s">
        <v>1040</v>
      </c>
      <c r="G34" s="322">
        <v>0.666</v>
      </c>
      <c r="H34" s="251"/>
      <c r="I34" s="248"/>
      <c r="J34" s="1086" t="s">
        <v>1982</v>
      </c>
      <c r="K34" s="1087" t="s">
        <v>206</v>
      </c>
      <c r="L34" s="904"/>
      <c r="M34" s="904"/>
      <c r="N34" s="904" t="s">
        <v>2488</v>
      </c>
      <c r="O34" s="1098" t="s">
        <v>1983</v>
      </c>
      <c r="P34" s="904"/>
      <c r="Q34" s="904"/>
      <c r="R34" s="904"/>
      <c r="S34" s="904"/>
      <c r="T34" s="904"/>
      <c r="U34" s="291" t="s">
        <v>1984</v>
      </c>
      <c r="V34" s="904"/>
      <c r="W34" s="904"/>
      <c r="X34" s="295" t="s">
        <v>207</v>
      </c>
      <c r="Y34" s="904"/>
      <c r="Z34" s="291" t="s">
        <v>208</v>
      </c>
      <c r="AA34" s="903"/>
      <c r="AB34" s="295" t="s">
        <v>209</v>
      </c>
      <c r="AC34" s="904"/>
      <c r="AD34" s="905" t="s">
        <v>210</v>
      </c>
      <c r="AE34" s="1099"/>
      <c r="AF34" s="1089"/>
      <c r="AG34" s="1439" t="s">
        <v>211</v>
      </c>
      <c r="AH34" s="1440"/>
      <c r="AI34" s="1440"/>
      <c r="AJ34" s="1441"/>
    </row>
    <row r="35" spans="1:36" ht="19.5">
      <c r="A35" s="248"/>
      <c r="B35" s="1366"/>
      <c r="C35" s="918" t="s">
        <v>212</v>
      </c>
      <c r="D35" s="125" t="s">
        <v>1985</v>
      </c>
      <c r="E35" s="1096" t="s">
        <v>1986</v>
      </c>
      <c r="F35" s="724" t="s">
        <v>1040</v>
      </c>
      <c r="G35" s="322">
        <v>0.1</v>
      </c>
      <c r="H35" s="251"/>
      <c r="I35" s="248"/>
      <c r="J35" s="1086" t="s">
        <v>1987</v>
      </c>
      <c r="K35" s="1087" t="s">
        <v>213</v>
      </c>
      <c r="L35" s="904"/>
      <c r="M35" s="904"/>
      <c r="N35" s="904"/>
      <c r="O35" s="1100"/>
      <c r="P35" s="904"/>
      <c r="Q35" s="904"/>
      <c r="R35" s="904"/>
      <c r="S35" s="904"/>
      <c r="T35" s="904"/>
      <c r="U35" s="904"/>
      <c r="V35" s="904" t="s">
        <v>2488</v>
      </c>
      <c r="W35" s="904"/>
      <c r="X35" s="904" t="s">
        <v>2467</v>
      </c>
      <c r="Y35" s="904"/>
      <c r="Z35" s="904"/>
      <c r="AA35" s="903"/>
      <c r="AB35" s="908"/>
      <c r="AC35" s="904"/>
      <c r="AD35" s="904"/>
      <c r="AE35" s="1099"/>
      <c r="AF35" s="1089"/>
      <c r="AG35" s="1439" t="s">
        <v>214</v>
      </c>
      <c r="AH35" s="1440"/>
      <c r="AI35" s="1440"/>
      <c r="AJ35" s="1441"/>
    </row>
    <row r="36" spans="1:36" ht="19.5">
      <c r="A36" s="248"/>
      <c r="B36" s="1366"/>
      <c r="C36" s="565" t="s">
        <v>620</v>
      </c>
      <c r="D36" s="125" t="s">
        <v>1988</v>
      </c>
      <c r="E36" s="1096" t="s">
        <v>2257</v>
      </c>
      <c r="F36" s="724" t="s">
        <v>1202</v>
      </c>
      <c r="G36" s="322">
        <v>0.08</v>
      </c>
      <c r="H36" s="251"/>
      <c r="I36" s="248"/>
      <c r="J36" s="1086" t="s">
        <v>1989</v>
      </c>
      <c r="K36" s="1087" t="s">
        <v>215</v>
      </c>
      <c r="L36" s="904"/>
      <c r="M36" s="904"/>
      <c r="N36" s="904"/>
      <c r="O36" s="1100"/>
      <c r="P36" s="904"/>
      <c r="Q36" s="904"/>
      <c r="R36" s="904"/>
      <c r="S36" s="904"/>
      <c r="T36" s="904"/>
      <c r="U36" s="904"/>
      <c r="V36" s="904"/>
      <c r="W36" s="904" t="s">
        <v>2488</v>
      </c>
      <c r="X36" s="904" t="s">
        <v>2467</v>
      </c>
      <c r="Y36" s="904"/>
      <c r="Z36" s="904"/>
      <c r="AA36" s="903"/>
      <c r="AB36" s="908"/>
      <c r="AC36" s="904"/>
      <c r="AD36" s="904"/>
      <c r="AE36" s="1099"/>
      <c r="AF36" s="1089"/>
      <c r="AG36" s="1439" t="s">
        <v>216</v>
      </c>
      <c r="AH36" s="1440"/>
      <c r="AI36" s="1440"/>
      <c r="AJ36" s="1441"/>
    </row>
    <row r="37" spans="1:36" ht="19.5">
      <c r="A37" s="248"/>
      <c r="B37" s="1366"/>
      <c r="C37" s="918" t="s">
        <v>1990</v>
      </c>
      <c r="D37" s="125" t="s">
        <v>1991</v>
      </c>
      <c r="E37" s="1096" t="s">
        <v>1992</v>
      </c>
      <c r="F37" s="724" t="s">
        <v>217</v>
      </c>
      <c r="G37" s="322">
        <v>0.5</v>
      </c>
      <c r="H37" s="251"/>
      <c r="I37" s="248"/>
      <c r="J37" s="1086" t="s">
        <v>1993</v>
      </c>
      <c r="K37" s="1087" t="s">
        <v>218</v>
      </c>
      <c r="L37" s="904"/>
      <c r="M37" s="904"/>
      <c r="N37" s="904"/>
      <c r="O37" s="1100"/>
      <c r="P37" s="904"/>
      <c r="Q37" s="904"/>
      <c r="R37" s="904" t="s">
        <v>2467</v>
      </c>
      <c r="S37" s="904" t="s">
        <v>2488</v>
      </c>
      <c r="T37" s="904"/>
      <c r="U37" s="904"/>
      <c r="V37" s="904"/>
      <c r="W37" s="904"/>
      <c r="X37" s="904"/>
      <c r="Y37" s="904"/>
      <c r="Z37" s="904"/>
      <c r="AA37" s="903"/>
      <c r="AB37" s="908"/>
      <c r="AC37" s="904"/>
      <c r="AD37" s="904"/>
      <c r="AE37" s="1099"/>
      <c r="AF37" s="1089"/>
      <c r="AG37" s="1439" t="s">
        <v>219</v>
      </c>
      <c r="AH37" s="1440"/>
      <c r="AI37" s="1440"/>
      <c r="AJ37" s="1441"/>
    </row>
    <row r="38" spans="1:36" ht="39">
      <c r="A38" s="248"/>
      <c r="B38" s="1366"/>
      <c r="C38" s="427" t="s">
        <v>1203</v>
      </c>
      <c r="D38" s="337" t="s">
        <v>1994</v>
      </c>
      <c r="E38" s="1101" t="s">
        <v>2530</v>
      </c>
      <c r="F38" s="733" t="s">
        <v>1204</v>
      </c>
      <c r="G38" s="338">
        <v>0.639</v>
      </c>
      <c r="H38" s="251"/>
      <c r="I38" s="248"/>
      <c r="J38" s="1086" t="s">
        <v>1995</v>
      </c>
      <c r="K38" s="1087" t="s">
        <v>220</v>
      </c>
      <c r="L38" s="904"/>
      <c r="M38" s="904"/>
      <c r="N38" s="904" t="s">
        <v>2488</v>
      </c>
      <c r="O38" s="1098" t="s">
        <v>1983</v>
      </c>
      <c r="P38" s="904"/>
      <c r="Q38" s="904"/>
      <c r="R38" s="904"/>
      <c r="S38" s="904"/>
      <c r="T38" s="904"/>
      <c r="U38" s="291" t="s">
        <v>1984</v>
      </c>
      <c r="V38" s="904"/>
      <c r="W38" s="904"/>
      <c r="X38" s="295" t="s">
        <v>207</v>
      </c>
      <c r="Y38" s="904"/>
      <c r="Z38" s="291" t="s">
        <v>208</v>
      </c>
      <c r="AA38" s="903" t="s">
        <v>221</v>
      </c>
      <c r="AB38" s="295" t="s">
        <v>209</v>
      </c>
      <c r="AC38" s="904"/>
      <c r="AD38" s="904"/>
      <c r="AE38" s="1097" t="s">
        <v>222</v>
      </c>
      <c r="AF38" s="1089"/>
      <c r="AG38" s="1439" t="s">
        <v>223</v>
      </c>
      <c r="AH38" s="1440"/>
      <c r="AI38" s="1440"/>
      <c r="AJ38" s="1441"/>
    </row>
    <row r="39" spans="1:36" ht="19.5">
      <c r="A39" s="248"/>
      <c r="B39" s="1366"/>
      <c r="C39" s="427" t="s">
        <v>224</v>
      </c>
      <c r="D39" s="337" t="s">
        <v>1996</v>
      </c>
      <c r="E39" s="1101" t="s">
        <v>1997</v>
      </c>
      <c r="F39" s="733" t="s">
        <v>1206</v>
      </c>
      <c r="G39" s="338">
        <v>0.95</v>
      </c>
      <c r="H39" s="251"/>
      <c r="I39" s="248"/>
      <c r="J39" s="1086" t="s">
        <v>1998</v>
      </c>
      <c r="K39" s="1087" t="s">
        <v>225</v>
      </c>
      <c r="L39" s="904"/>
      <c r="M39" s="904"/>
      <c r="N39" s="904"/>
      <c r="O39" s="1100"/>
      <c r="P39" s="904"/>
      <c r="Q39" s="904"/>
      <c r="R39" s="904"/>
      <c r="S39" s="904"/>
      <c r="T39" s="904"/>
      <c r="U39" s="904"/>
      <c r="V39" s="904" t="s">
        <v>2488</v>
      </c>
      <c r="W39" s="904"/>
      <c r="X39" s="904" t="s">
        <v>2467</v>
      </c>
      <c r="Y39" s="904"/>
      <c r="Z39" s="904"/>
      <c r="AA39" s="904"/>
      <c r="AB39" s="904"/>
      <c r="AC39" s="904"/>
      <c r="AD39" s="904"/>
      <c r="AE39" s="1099"/>
      <c r="AF39" s="1089"/>
      <c r="AG39" s="1439" t="s">
        <v>226</v>
      </c>
      <c r="AH39" s="1440"/>
      <c r="AI39" s="1440"/>
      <c r="AJ39" s="1441"/>
    </row>
    <row r="40" spans="1:36" ht="19.5">
      <c r="A40" s="248"/>
      <c r="B40" s="1366"/>
      <c r="C40" s="427" t="s">
        <v>227</v>
      </c>
      <c r="D40" s="337" t="s">
        <v>1999</v>
      </c>
      <c r="E40" s="1101" t="s">
        <v>2000</v>
      </c>
      <c r="F40" s="733" t="s">
        <v>1206</v>
      </c>
      <c r="G40" s="338">
        <v>0.55</v>
      </c>
      <c r="H40" s="251"/>
      <c r="I40" s="248"/>
      <c r="J40" s="1086" t="s">
        <v>2001</v>
      </c>
      <c r="K40" s="1087" t="s">
        <v>228</v>
      </c>
      <c r="L40" s="904"/>
      <c r="M40" s="904"/>
      <c r="N40" s="904"/>
      <c r="O40" s="1100"/>
      <c r="P40" s="904"/>
      <c r="Q40" s="904"/>
      <c r="R40" s="904"/>
      <c r="S40" s="904"/>
      <c r="T40" s="904"/>
      <c r="U40" s="904"/>
      <c r="V40" s="904"/>
      <c r="W40" s="904" t="s">
        <v>2488</v>
      </c>
      <c r="X40" s="904" t="s">
        <v>2467</v>
      </c>
      <c r="Y40" s="904"/>
      <c r="Z40" s="904"/>
      <c r="AA40" s="904"/>
      <c r="AB40" s="904"/>
      <c r="AC40" s="904"/>
      <c r="AD40" s="904"/>
      <c r="AE40" s="1099"/>
      <c r="AF40" s="1089"/>
      <c r="AG40" s="1439" t="s">
        <v>229</v>
      </c>
      <c r="AH40" s="1440"/>
      <c r="AI40" s="1440"/>
      <c r="AJ40" s="1441"/>
    </row>
    <row r="41" spans="1:36" ht="19.5">
      <c r="A41" s="248"/>
      <c r="B41" s="1366"/>
      <c r="C41" s="427" t="s">
        <v>230</v>
      </c>
      <c r="D41" s="337" t="s">
        <v>2002</v>
      </c>
      <c r="E41" s="1101" t="s">
        <v>2003</v>
      </c>
      <c r="F41" s="733" t="s">
        <v>836</v>
      </c>
      <c r="G41" s="338">
        <v>0.889</v>
      </c>
      <c r="H41" s="251"/>
      <c r="I41" s="248"/>
      <c r="J41" s="1086" t="s">
        <v>2004</v>
      </c>
      <c r="K41" s="1087" t="s">
        <v>231</v>
      </c>
      <c r="L41" s="904"/>
      <c r="M41" s="904"/>
      <c r="N41" s="904"/>
      <c r="O41" s="1100"/>
      <c r="P41" s="904"/>
      <c r="Q41" s="904"/>
      <c r="R41" s="904" t="s">
        <v>2467</v>
      </c>
      <c r="S41" s="904" t="s">
        <v>2488</v>
      </c>
      <c r="T41" s="904"/>
      <c r="U41" s="904"/>
      <c r="V41" s="904"/>
      <c r="W41" s="904"/>
      <c r="X41" s="904"/>
      <c r="Y41" s="904"/>
      <c r="Z41" s="904"/>
      <c r="AA41" s="904"/>
      <c r="AB41" s="904"/>
      <c r="AC41" s="904"/>
      <c r="AD41" s="904"/>
      <c r="AE41" s="1099"/>
      <c r="AF41" s="1089"/>
      <c r="AG41" s="1439" t="s">
        <v>232</v>
      </c>
      <c r="AH41" s="1440"/>
      <c r="AI41" s="1440"/>
      <c r="AJ41" s="1441"/>
    </row>
    <row r="42" spans="1:36" ht="39">
      <c r="A42" s="248"/>
      <c r="B42" s="1366"/>
      <c r="C42" s="427" t="s">
        <v>1207</v>
      </c>
      <c r="D42" s="337" t="s">
        <v>2005</v>
      </c>
      <c r="E42" s="1101" t="s">
        <v>2539</v>
      </c>
      <c r="F42" s="733" t="s">
        <v>1208</v>
      </c>
      <c r="G42" s="338">
        <v>0.52</v>
      </c>
      <c r="H42" s="251"/>
      <c r="I42" s="248"/>
      <c r="J42" s="1086" t="s">
        <v>2006</v>
      </c>
      <c r="K42" s="1087" t="s">
        <v>233</v>
      </c>
      <c r="L42" s="904"/>
      <c r="M42" s="904"/>
      <c r="N42" s="904" t="s">
        <v>2488</v>
      </c>
      <c r="O42" s="1098" t="s">
        <v>1983</v>
      </c>
      <c r="P42" s="904"/>
      <c r="Q42" s="904"/>
      <c r="R42" s="904"/>
      <c r="S42" s="904"/>
      <c r="T42" s="904"/>
      <c r="U42" s="905" t="s">
        <v>234</v>
      </c>
      <c r="V42" s="904"/>
      <c r="W42" s="904"/>
      <c r="X42" s="295" t="s">
        <v>207</v>
      </c>
      <c r="Y42" s="904"/>
      <c r="Z42" s="291" t="s">
        <v>208</v>
      </c>
      <c r="AA42" s="904"/>
      <c r="AB42" s="291" t="s">
        <v>209</v>
      </c>
      <c r="AC42" s="904"/>
      <c r="AD42" s="904"/>
      <c r="AE42" s="1099"/>
      <c r="AF42" s="1089"/>
      <c r="AG42" s="1439" t="s">
        <v>235</v>
      </c>
      <c r="AH42" s="1440"/>
      <c r="AI42" s="1440"/>
      <c r="AJ42" s="1441"/>
    </row>
    <row r="43" spans="1:36" ht="19.5">
      <c r="A43" s="248"/>
      <c r="B43" s="1366"/>
      <c r="C43" s="746" t="s">
        <v>236</v>
      </c>
      <c r="D43" s="337" t="s">
        <v>2007</v>
      </c>
      <c r="E43" s="1101" t="s">
        <v>2008</v>
      </c>
      <c r="F43" s="733" t="s">
        <v>237</v>
      </c>
      <c r="G43" s="338">
        <v>0.94</v>
      </c>
      <c r="H43" s="251"/>
      <c r="I43" s="248"/>
      <c r="J43" s="1086" t="s">
        <v>2009</v>
      </c>
      <c r="K43" s="1087" t="s">
        <v>238</v>
      </c>
      <c r="L43" s="904"/>
      <c r="M43" s="904"/>
      <c r="N43" s="904"/>
      <c r="O43" s="904"/>
      <c r="P43" s="904"/>
      <c r="Q43" s="904"/>
      <c r="R43" s="904"/>
      <c r="S43" s="904"/>
      <c r="T43" s="904"/>
      <c r="U43" s="904"/>
      <c r="V43" s="904" t="s">
        <v>2488</v>
      </c>
      <c r="W43" s="904"/>
      <c r="X43" s="904" t="s">
        <v>2467</v>
      </c>
      <c r="Y43" s="904"/>
      <c r="Z43" s="904"/>
      <c r="AA43" s="904"/>
      <c r="AB43" s="904"/>
      <c r="AC43" s="904"/>
      <c r="AD43" s="904"/>
      <c r="AE43" s="1099"/>
      <c r="AF43" s="1089"/>
      <c r="AG43" s="1439" t="s">
        <v>239</v>
      </c>
      <c r="AH43" s="1440"/>
      <c r="AI43" s="1440"/>
      <c r="AJ43" s="1441"/>
    </row>
    <row r="44" spans="1:36" ht="19.5">
      <c r="A44" s="248"/>
      <c r="B44" s="1366"/>
      <c r="C44" s="746" t="s">
        <v>240</v>
      </c>
      <c r="D44" s="337" t="s">
        <v>1983</v>
      </c>
      <c r="E44" s="1101" t="s">
        <v>2010</v>
      </c>
      <c r="F44" s="733" t="s">
        <v>629</v>
      </c>
      <c r="G44" s="338">
        <v>0.25</v>
      </c>
      <c r="H44" s="251"/>
      <c r="I44" s="248"/>
      <c r="J44" s="1086" t="s">
        <v>2011</v>
      </c>
      <c r="K44" s="1087" t="s">
        <v>241</v>
      </c>
      <c r="L44" s="904"/>
      <c r="M44" s="904"/>
      <c r="N44" s="904"/>
      <c r="O44" s="904"/>
      <c r="P44" s="904"/>
      <c r="Q44" s="904"/>
      <c r="R44" s="904"/>
      <c r="S44" s="904"/>
      <c r="T44" s="904"/>
      <c r="U44" s="904"/>
      <c r="V44" s="904"/>
      <c r="W44" s="904" t="s">
        <v>2488</v>
      </c>
      <c r="X44" s="904" t="s">
        <v>2467</v>
      </c>
      <c r="Y44" s="904"/>
      <c r="Z44" s="904"/>
      <c r="AA44" s="904"/>
      <c r="AB44" s="904"/>
      <c r="AC44" s="904"/>
      <c r="AD44" s="904"/>
      <c r="AE44" s="1099"/>
      <c r="AF44" s="1089"/>
      <c r="AG44" s="1439" t="s">
        <v>242</v>
      </c>
      <c r="AH44" s="1440"/>
      <c r="AI44" s="1440"/>
      <c r="AJ44" s="1441"/>
    </row>
    <row r="45" spans="1:36" ht="19.5">
      <c r="A45" s="248"/>
      <c r="B45" s="1366"/>
      <c r="C45" s="746" t="s">
        <v>628</v>
      </c>
      <c r="D45" s="337" t="s">
        <v>2012</v>
      </c>
      <c r="E45" s="1101" t="s">
        <v>2156</v>
      </c>
      <c r="F45" s="733" t="s">
        <v>629</v>
      </c>
      <c r="G45" s="338">
        <v>0.2</v>
      </c>
      <c r="H45" s="251"/>
      <c r="I45" s="248"/>
      <c r="J45" s="1086" t="s">
        <v>2013</v>
      </c>
      <c r="K45" s="1087" t="s">
        <v>243</v>
      </c>
      <c r="L45" s="904"/>
      <c r="M45" s="904"/>
      <c r="N45" s="904"/>
      <c r="O45" s="904"/>
      <c r="P45" s="904"/>
      <c r="Q45" s="904"/>
      <c r="R45" s="904" t="s">
        <v>2467</v>
      </c>
      <c r="S45" s="904" t="s">
        <v>2488</v>
      </c>
      <c r="T45" s="904"/>
      <c r="U45" s="904"/>
      <c r="V45" s="904"/>
      <c r="W45" s="904"/>
      <c r="X45" s="904"/>
      <c r="Y45" s="904"/>
      <c r="Z45" s="904"/>
      <c r="AA45" s="904"/>
      <c r="AB45" s="904"/>
      <c r="AC45" s="904"/>
      <c r="AD45" s="904"/>
      <c r="AE45" s="1099"/>
      <c r="AF45" s="1089"/>
      <c r="AG45" s="1439" t="s">
        <v>244</v>
      </c>
      <c r="AH45" s="1440"/>
      <c r="AI45" s="1440"/>
      <c r="AJ45" s="1441"/>
    </row>
    <row r="46" spans="1:36" ht="25.5">
      <c r="A46" s="248"/>
      <c r="B46" s="1366"/>
      <c r="C46" s="1102" t="s">
        <v>1209</v>
      </c>
      <c r="D46" s="152" t="s">
        <v>2354</v>
      </c>
      <c r="E46" s="1103" t="s">
        <v>2355</v>
      </c>
      <c r="F46" s="94" t="s">
        <v>1210</v>
      </c>
      <c r="G46" s="153">
        <v>0.15</v>
      </c>
      <c r="H46" s="251"/>
      <c r="I46" s="248"/>
      <c r="J46" s="1086" t="s">
        <v>2014</v>
      </c>
      <c r="K46" s="1087" t="s">
        <v>2015</v>
      </c>
      <c r="L46" s="904"/>
      <c r="M46" s="904"/>
      <c r="N46" s="904"/>
      <c r="O46" s="904"/>
      <c r="P46" s="904"/>
      <c r="Q46" s="904"/>
      <c r="R46" s="904"/>
      <c r="S46" s="904"/>
      <c r="T46" s="904"/>
      <c r="U46" s="904"/>
      <c r="V46" s="904" t="s">
        <v>2488</v>
      </c>
      <c r="W46" s="904"/>
      <c r="X46" s="904" t="s">
        <v>2467</v>
      </c>
      <c r="Y46" s="904"/>
      <c r="Z46" s="904"/>
      <c r="AA46" s="904"/>
      <c r="AB46" s="904"/>
      <c r="AC46" s="904"/>
      <c r="AD46" s="904"/>
      <c r="AE46" s="1099"/>
      <c r="AF46" s="1089"/>
      <c r="AG46" s="1439" t="s">
        <v>245</v>
      </c>
      <c r="AH46" s="1440"/>
      <c r="AI46" s="1440"/>
      <c r="AJ46" s="1441"/>
    </row>
    <row r="47" spans="1:36" ht="20.25" thickBot="1">
      <c r="A47" s="248"/>
      <c r="B47" s="1366"/>
      <c r="C47" s="1102" t="s">
        <v>849</v>
      </c>
      <c r="D47" s="152" t="s">
        <v>2016</v>
      </c>
      <c r="E47" s="1103" t="s">
        <v>2017</v>
      </c>
      <c r="F47" s="94" t="s">
        <v>850</v>
      </c>
      <c r="G47" s="153">
        <v>0.08</v>
      </c>
      <c r="H47" s="251"/>
      <c r="I47" s="248"/>
      <c r="J47" s="1104" t="s">
        <v>2018</v>
      </c>
      <c r="K47" s="1105" t="s">
        <v>246</v>
      </c>
      <c r="L47" s="1106"/>
      <c r="M47" s="1106"/>
      <c r="N47" s="1106"/>
      <c r="O47" s="1106"/>
      <c r="P47" s="1106"/>
      <c r="Q47" s="1106"/>
      <c r="R47" s="1106" t="s">
        <v>2488</v>
      </c>
      <c r="S47" s="1107" t="s">
        <v>2019</v>
      </c>
      <c r="T47" s="1106"/>
      <c r="U47" s="1106"/>
      <c r="V47" s="1108" t="s">
        <v>247</v>
      </c>
      <c r="W47" s="1106"/>
      <c r="X47" s="1107" t="s">
        <v>2020</v>
      </c>
      <c r="Y47" s="1106"/>
      <c r="Z47" s="1106"/>
      <c r="AA47" s="1106"/>
      <c r="AB47" s="1106"/>
      <c r="AC47" s="1106"/>
      <c r="AD47" s="1106"/>
      <c r="AE47" s="1109"/>
      <c r="AF47" s="1110" t="s">
        <v>248</v>
      </c>
      <c r="AG47" s="1433" t="s">
        <v>249</v>
      </c>
      <c r="AH47" s="1434"/>
      <c r="AI47" s="1434"/>
      <c r="AJ47" s="1435"/>
    </row>
    <row r="48" spans="1:36" ht="20.25" thickBot="1">
      <c r="A48" s="248"/>
      <c r="B48" s="1366"/>
      <c r="C48" s="1111" t="s">
        <v>1240</v>
      </c>
      <c r="D48" s="97" t="s">
        <v>2021</v>
      </c>
      <c r="E48" s="1112" t="s">
        <v>2569</v>
      </c>
      <c r="F48" s="755" t="s">
        <v>1241</v>
      </c>
      <c r="G48" s="1113">
        <v>0.07</v>
      </c>
      <c r="H48" s="251"/>
      <c r="I48" s="248"/>
      <c r="J48" s="9"/>
      <c r="K48" s="1436" t="s">
        <v>2328</v>
      </c>
      <c r="L48" s="1437"/>
      <c r="M48" s="1437"/>
      <c r="N48" s="1437"/>
      <c r="O48" s="1437"/>
      <c r="P48" s="1437"/>
      <c r="Q48" s="1437"/>
      <c r="R48" s="1437"/>
      <c r="S48" s="1437"/>
      <c r="T48" s="1437"/>
      <c r="U48" s="1437"/>
      <c r="V48" s="1437"/>
      <c r="W48" s="1437"/>
      <c r="X48" s="1437"/>
      <c r="Y48" s="1437"/>
      <c r="Z48" s="1437"/>
      <c r="AA48" s="1437"/>
      <c r="AB48" s="1437"/>
      <c r="AC48" s="1437"/>
      <c r="AD48" s="1437"/>
      <c r="AE48" s="1437"/>
      <c r="AF48" s="1438"/>
      <c r="AG48" s="9"/>
      <c r="AH48" s="9"/>
      <c r="AI48" s="9"/>
      <c r="AJ48" s="248"/>
    </row>
    <row r="49" spans="1:36" ht="19.5">
      <c r="A49" s="248"/>
      <c r="B49" s="1366"/>
      <c r="C49" s="1114" t="s">
        <v>250</v>
      </c>
      <c r="D49" s="97" t="s">
        <v>2022</v>
      </c>
      <c r="E49" s="1112" t="s">
        <v>2023</v>
      </c>
      <c r="F49" s="755" t="s">
        <v>251</v>
      </c>
      <c r="G49" s="1113">
        <v>0.07</v>
      </c>
      <c r="H49" s="251"/>
      <c r="I49" s="248"/>
      <c r="J49" s="9"/>
      <c r="K49" s="1115" t="s">
        <v>2332</v>
      </c>
      <c r="L49" s="940">
        <v>1</v>
      </c>
      <c r="M49" s="940">
        <v>1</v>
      </c>
      <c r="N49" s="940">
        <v>1</v>
      </c>
      <c r="O49" s="940">
        <v>1</v>
      </c>
      <c r="P49" s="940">
        <v>1</v>
      </c>
      <c r="Q49" s="940">
        <v>1</v>
      </c>
      <c r="R49" s="940">
        <v>1</v>
      </c>
      <c r="S49" s="940">
        <v>1</v>
      </c>
      <c r="T49" s="940">
        <v>1</v>
      </c>
      <c r="U49" s="940">
        <v>1</v>
      </c>
      <c r="V49" s="940"/>
      <c r="W49" s="940"/>
      <c r="X49" s="940"/>
      <c r="Y49" s="940"/>
      <c r="Z49" s="940"/>
      <c r="AA49" s="1116" t="s">
        <v>2333</v>
      </c>
      <c r="AB49" s="940"/>
      <c r="AC49" s="940"/>
      <c r="AD49" s="940">
        <v>-1</v>
      </c>
      <c r="AE49" s="1116" t="s">
        <v>2531</v>
      </c>
      <c r="AF49" s="942">
        <v>1</v>
      </c>
      <c r="AG49" s="9"/>
      <c r="AH49" s="9"/>
      <c r="AI49" s="9"/>
      <c r="AJ49" s="248"/>
    </row>
    <row r="50" spans="1:36" ht="19.5">
      <c r="A50" s="248"/>
      <c r="B50" s="1366"/>
      <c r="C50" s="1114" t="s">
        <v>252</v>
      </c>
      <c r="D50" s="97" t="s">
        <v>2024</v>
      </c>
      <c r="E50" s="1112" t="s">
        <v>2025</v>
      </c>
      <c r="F50" s="755" t="s">
        <v>1047</v>
      </c>
      <c r="G50" s="1113">
        <v>0.07</v>
      </c>
      <c r="H50" s="251"/>
      <c r="I50" s="248"/>
      <c r="J50" s="9"/>
      <c r="K50" s="1117" t="s">
        <v>2338</v>
      </c>
      <c r="L50" s="345" t="s">
        <v>2026</v>
      </c>
      <c r="M50" s="345" t="s">
        <v>2027</v>
      </c>
      <c r="N50" s="345" t="s">
        <v>2028</v>
      </c>
      <c r="O50" s="345" t="s">
        <v>2029</v>
      </c>
      <c r="P50" s="944"/>
      <c r="Q50" s="944"/>
      <c r="R50" s="944"/>
      <c r="S50" s="944"/>
      <c r="T50" s="944"/>
      <c r="U50" s="944"/>
      <c r="V50" s="944"/>
      <c r="W50" s="944"/>
      <c r="X50" s="944"/>
      <c r="Y50" s="944">
        <v>1</v>
      </c>
      <c r="Z50" s="944">
        <v>1</v>
      </c>
      <c r="AA50" s="944">
        <v>1</v>
      </c>
      <c r="AB50" s="944">
        <v>1</v>
      </c>
      <c r="AC50" s="944">
        <v>1</v>
      </c>
      <c r="AD50" s="944"/>
      <c r="AE50" s="944">
        <v>1</v>
      </c>
      <c r="AF50" s="945"/>
      <c r="AG50" s="9"/>
      <c r="AH50" s="9"/>
      <c r="AI50" s="9"/>
      <c r="AJ50" s="248"/>
    </row>
    <row r="51" spans="1:36" ht="20.25" thickBot="1">
      <c r="A51" s="248"/>
      <c r="B51" s="1366"/>
      <c r="C51" s="1114" t="s">
        <v>253</v>
      </c>
      <c r="D51" s="97" t="s">
        <v>2030</v>
      </c>
      <c r="E51" s="1112" t="s">
        <v>2031</v>
      </c>
      <c r="F51" s="755" t="s">
        <v>254</v>
      </c>
      <c r="G51" s="371">
        <v>0.07</v>
      </c>
      <c r="H51" s="251"/>
      <c r="I51" s="248"/>
      <c r="J51" s="9"/>
      <c r="K51" s="1118" t="s">
        <v>2540</v>
      </c>
      <c r="L51" s="359" t="s">
        <v>2032</v>
      </c>
      <c r="M51" s="359" t="s">
        <v>2033</v>
      </c>
      <c r="N51" s="359" t="s">
        <v>2034</v>
      </c>
      <c r="O51" s="359" t="s">
        <v>2035</v>
      </c>
      <c r="P51" s="947"/>
      <c r="Q51" s="947"/>
      <c r="R51" s="947"/>
      <c r="S51" s="947"/>
      <c r="T51" s="947"/>
      <c r="U51" s="947"/>
      <c r="V51" s="947">
        <v>1</v>
      </c>
      <c r="W51" s="947">
        <v>1</v>
      </c>
      <c r="X51" s="947">
        <v>1</v>
      </c>
      <c r="Y51" s="947"/>
      <c r="Z51" s="947"/>
      <c r="AA51" s="947"/>
      <c r="AB51" s="947"/>
      <c r="AC51" s="947"/>
      <c r="AD51" s="947"/>
      <c r="AE51" s="947"/>
      <c r="AF51" s="948"/>
      <c r="AG51" s="9"/>
      <c r="AH51" s="9"/>
      <c r="AI51" s="9"/>
      <c r="AJ51" s="248"/>
    </row>
    <row r="52" spans="1:36" ht="19.5">
      <c r="A52" s="248"/>
      <c r="B52" s="1366"/>
      <c r="C52" s="1114" t="s">
        <v>255</v>
      </c>
      <c r="D52" s="97" t="s">
        <v>2036</v>
      </c>
      <c r="E52" s="1112" t="s">
        <v>2037</v>
      </c>
      <c r="F52" s="755" t="s">
        <v>1047</v>
      </c>
      <c r="G52" s="371">
        <v>0.07</v>
      </c>
      <c r="H52" s="251"/>
      <c r="I52" s="248"/>
      <c r="J52" s="9"/>
      <c r="K52" s="9"/>
      <c r="L52" s="9"/>
      <c r="M52" s="9"/>
      <c r="N52" s="9"/>
      <c r="O52" s="9"/>
      <c r="P52" s="9"/>
      <c r="Q52" s="9"/>
      <c r="R52" s="9"/>
      <c r="S52" s="9"/>
      <c r="T52" s="9"/>
      <c r="U52" s="9"/>
      <c r="V52" s="9"/>
      <c r="W52" s="9"/>
      <c r="X52" s="9"/>
      <c r="Y52" s="9"/>
      <c r="Z52" s="9"/>
      <c r="AA52" s="9"/>
      <c r="AB52" s="9"/>
      <c r="AC52" s="9"/>
      <c r="AD52" s="9"/>
      <c r="AE52" s="9"/>
      <c r="AF52" s="9"/>
      <c r="AG52" s="9"/>
      <c r="AH52" s="9"/>
      <c r="AI52" s="9"/>
      <c r="AJ52" s="248"/>
    </row>
    <row r="53" spans="1:36" ht="20.25" thickBot="1">
      <c r="A53" s="248"/>
      <c r="B53" s="1366"/>
      <c r="C53" s="1114" t="s">
        <v>256</v>
      </c>
      <c r="D53" s="97" t="s">
        <v>2038</v>
      </c>
      <c r="E53" s="1112" t="s">
        <v>2039</v>
      </c>
      <c r="F53" s="755" t="s">
        <v>257</v>
      </c>
      <c r="G53" s="1113">
        <v>0.07</v>
      </c>
      <c r="H53" s="251"/>
      <c r="I53" s="248"/>
      <c r="J53" s="9"/>
      <c r="K53" s="9"/>
      <c r="L53" s="9"/>
      <c r="M53" s="9"/>
      <c r="N53" s="9"/>
      <c r="O53" s="9"/>
      <c r="P53" s="9"/>
      <c r="Q53" s="9"/>
      <c r="R53" s="9"/>
      <c r="S53" s="9"/>
      <c r="T53" s="9"/>
      <c r="U53" s="9"/>
      <c r="V53" s="9"/>
      <c r="W53" s="9"/>
      <c r="X53" s="9"/>
      <c r="Y53" s="9"/>
      <c r="Z53" s="9"/>
      <c r="AA53" s="9"/>
      <c r="AB53" s="9"/>
      <c r="AC53" s="9"/>
      <c r="AD53" s="9"/>
      <c r="AE53" s="9"/>
      <c r="AF53" s="9"/>
      <c r="AG53" s="9"/>
      <c r="AH53" s="9"/>
      <c r="AI53" s="9"/>
      <c r="AJ53" s="248"/>
    </row>
    <row r="54" spans="1:36" ht="30.75" thickBot="1">
      <c r="A54" s="248"/>
      <c r="B54" s="1366"/>
      <c r="C54" s="1114" t="s">
        <v>258</v>
      </c>
      <c r="D54" s="97" t="s">
        <v>2040</v>
      </c>
      <c r="E54" s="1112" t="s">
        <v>2041</v>
      </c>
      <c r="F54" s="755" t="s">
        <v>1047</v>
      </c>
      <c r="G54" s="1113">
        <v>0.07</v>
      </c>
      <c r="H54" s="251"/>
      <c r="I54" s="248"/>
      <c r="J54" s="1405" t="s">
        <v>2353</v>
      </c>
      <c r="K54" s="1406"/>
      <c r="L54" s="1406"/>
      <c r="M54" s="1406"/>
      <c r="N54" s="1406"/>
      <c r="O54" s="1406"/>
      <c r="P54" s="1406"/>
      <c r="Q54" s="1406"/>
      <c r="R54" s="1406"/>
      <c r="S54" s="1406"/>
      <c r="T54" s="1406"/>
      <c r="U54" s="1406"/>
      <c r="V54" s="1406"/>
      <c r="W54" s="1406"/>
      <c r="X54" s="1406"/>
      <c r="Y54" s="1406"/>
      <c r="Z54" s="1406"/>
      <c r="AA54" s="1406"/>
      <c r="AB54" s="1406"/>
      <c r="AC54" s="1406"/>
      <c r="AD54" s="1406"/>
      <c r="AE54" s="1406"/>
      <c r="AF54" s="1406"/>
      <c r="AG54" s="1406"/>
      <c r="AH54" s="1406"/>
      <c r="AI54" s="1406"/>
      <c r="AJ54" s="1407"/>
    </row>
    <row r="55" spans="1:36" ht="20.25" thickBot="1">
      <c r="A55" s="248"/>
      <c r="B55" s="1366"/>
      <c r="C55" s="1119" t="s">
        <v>259</v>
      </c>
      <c r="D55" s="377" t="s">
        <v>2042</v>
      </c>
      <c r="E55" s="1120" t="s">
        <v>2043</v>
      </c>
      <c r="F55" s="763" t="s">
        <v>260</v>
      </c>
      <c r="G55" s="378">
        <v>0.021</v>
      </c>
      <c r="H55" s="251"/>
      <c r="I55" s="248"/>
      <c r="J55" s="9"/>
      <c r="K55" s="9"/>
      <c r="L55" s="9"/>
      <c r="M55" s="9"/>
      <c r="N55" s="9"/>
      <c r="O55" s="9"/>
      <c r="P55" s="9"/>
      <c r="Q55" s="9"/>
      <c r="R55" s="9"/>
      <c r="S55" s="9"/>
      <c r="T55" s="9"/>
      <c r="U55" s="9"/>
      <c r="V55" s="9"/>
      <c r="W55" s="9"/>
      <c r="X55" s="9"/>
      <c r="Y55" s="9"/>
      <c r="Z55" s="9"/>
      <c r="AA55" s="9"/>
      <c r="AB55" s="9"/>
      <c r="AC55" s="9"/>
      <c r="AD55" s="9"/>
      <c r="AE55" s="9"/>
      <c r="AF55" s="9"/>
      <c r="AG55" s="9"/>
      <c r="AH55" s="9"/>
      <c r="AI55" s="9"/>
      <c r="AJ55" s="248"/>
    </row>
    <row r="56" spans="1:36" ht="54">
      <c r="A56" s="248"/>
      <c r="B56" s="1366"/>
      <c r="C56" s="1119" t="s">
        <v>261</v>
      </c>
      <c r="D56" s="377" t="s">
        <v>2044</v>
      </c>
      <c r="E56" s="1120" t="s">
        <v>2045</v>
      </c>
      <c r="F56" s="763" t="s">
        <v>262</v>
      </c>
      <c r="G56" s="378">
        <v>0.021</v>
      </c>
      <c r="H56" s="251"/>
      <c r="I56" s="248"/>
      <c r="J56" s="1066"/>
      <c r="K56" s="1067"/>
      <c r="L56" s="259" t="s">
        <v>2362</v>
      </c>
      <c r="M56" s="259" t="s">
        <v>2363</v>
      </c>
      <c r="N56" s="259" t="s">
        <v>2457</v>
      </c>
      <c r="O56" s="259" t="s">
        <v>2364</v>
      </c>
      <c r="P56" s="259" t="s">
        <v>2361</v>
      </c>
      <c r="Q56" s="259" t="s">
        <v>2451</v>
      </c>
      <c r="R56" s="259" t="s">
        <v>2556</v>
      </c>
      <c r="S56" s="259" t="s">
        <v>2560</v>
      </c>
      <c r="T56" s="259" t="s">
        <v>2360</v>
      </c>
      <c r="U56" s="259" t="s">
        <v>2358</v>
      </c>
      <c r="V56" s="259" t="s">
        <v>2046</v>
      </c>
      <c r="W56" s="259" t="s">
        <v>2047</v>
      </c>
      <c r="X56" s="259" t="s">
        <v>2454</v>
      </c>
      <c r="Y56" s="259" t="s">
        <v>2369</v>
      </c>
      <c r="Z56" s="259" t="s">
        <v>2368</v>
      </c>
      <c r="AA56" s="259" t="s">
        <v>1793</v>
      </c>
      <c r="AB56" s="259" t="s">
        <v>2557</v>
      </c>
      <c r="AC56" s="259" t="s">
        <v>2048</v>
      </c>
      <c r="AD56" s="259" t="s">
        <v>2365</v>
      </c>
      <c r="AE56" s="1068" t="s">
        <v>2287</v>
      </c>
      <c r="AF56" s="1069" t="s">
        <v>1941</v>
      </c>
      <c r="AG56" s="1443" t="s">
        <v>2288</v>
      </c>
      <c r="AH56" s="1444"/>
      <c r="AI56" s="1444"/>
      <c r="AJ56" s="1445"/>
    </row>
    <row r="57" spans="1:36" ht="34.5">
      <c r="A57" s="248"/>
      <c r="B57" s="1366"/>
      <c r="C57" s="1119" t="s">
        <v>263</v>
      </c>
      <c r="D57" s="377" t="s">
        <v>2049</v>
      </c>
      <c r="E57" s="1120" t="s">
        <v>2050</v>
      </c>
      <c r="F57" s="763" t="s">
        <v>264</v>
      </c>
      <c r="G57" s="378">
        <v>0.021</v>
      </c>
      <c r="H57" s="251"/>
      <c r="I57" s="248"/>
      <c r="J57" s="1071">
        <v>1</v>
      </c>
      <c r="K57" s="1072" t="s">
        <v>265</v>
      </c>
      <c r="L57" s="897">
        <v>1</v>
      </c>
      <c r="M57" s="897"/>
      <c r="N57" s="897"/>
      <c r="O57" s="897"/>
      <c r="P57" s="897"/>
      <c r="Q57" s="896" t="s">
        <v>266</v>
      </c>
      <c r="R57" s="896"/>
      <c r="S57" s="897"/>
      <c r="T57" s="897"/>
      <c r="U57" s="897"/>
      <c r="V57" s="897"/>
      <c r="W57" s="897"/>
      <c r="X57" s="899" t="s">
        <v>267</v>
      </c>
      <c r="Y57" s="897"/>
      <c r="Z57" s="897"/>
      <c r="AA57" s="897"/>
      <c r="AB57" s="899" t="s">
        <v>268</v>
      </c>
      <c r="AC57" s="897"/>
      <c r="AD57" s="896" t="s">
        <v>269</v>
      </c>
      <c r="AE57" s="1121"/>
      <c r="AF57" s="1122"/>
      <c r="AG57" s="1439" t="s">
        <v>270</v>
      </c>
      <c r="AH57" s="1440"/>
      <c r="AI57" s="1440"/>
      <c r="AJ57" s="1441"/>
    </row>
    <row r="58" spans="1:36" ht="54">
      <c r="A58" s="248"/>
      <c r="B58" s="1366"/>
      <c r="C58" s="1119" t="s">
        <v>271</v>
      </c>
      <c r="D58" s="377" t="s">
        <v>2051</v>
      </c>
      <c r="E58" s="1120" t="s">
        <v>2052</v>
      </c>
      <c r="F58" s="763" t="s">
        <v>262</v>
      </c>
      <c r="G58" s="378">
        <v>0.021</v>
      </c>
      <c r="H58" s="251"/>
      <c r="I58" s="248"/>
      <c r="J58" s="1071">
        <v>2</v>
      </c>
      <c r="K58" s="1072" t="s">
        <v>272</v>
      </c>
      <c r="L58" s="897">
        <v>1</v>
      </c>
      <c r="M58" s="897"/>
      <c r="N58" s="897"/>
      <c r="O58" s="897"/>
      <c r="P58" s="897"/>
      <c r="Q58" s="896" t="s">
        <v>273</v>
      </c>
      <c r="R58" s="896"/>
      <c r="S58" s="897"/>
      <c r="T58" s="897"/>
      <c r="U58" s="897"/>
      <c r="V58" s="897"/>
      <c r="W58" s="897"/>
      <c r="X58" s="899" t="s">
        <v>267</v>
      </c>
      <c r="Y58" s="897"/>
      <c r="Z58" s="897"/>
      <c r="AA58" s="896" t="s">
        <v>274</v>
      </c>
      <c r="AB58" s="899" t="s">
        <v>268</v>
      </c>
      <c r="AC58" s="897"/>
      <c r="AD58" s="896"/>
      <c r="AE58" s="1073" t="s">
        <v>275</v>
      </c>
      <c r="AF58" s="48"/>
      <c r="AG58" s="1439" t="s">
        <v>276</v>
      </c>
      <c r="AH58" s="1440"/>
      <c r="AI58" s="1440"/>
      <c r="AJ58" s="1441"/>
    </row>
    <row r="59" spans="1:36" ht="54">
      <c r="A59" s="248"/>
      <c r="B59" s="1366"/>
      <c r="C59" s="1119" t="s">
        <v>277</v>
      </c>
      <c r="D59" s="377" t="s">
        <v>2053</v>
      </c>
      <c r="E59" s="1120" t="s">
        <v>2054</v>
      </c>
      <c r="F59" s="763" t="s">
        <v>278</v>
      </c>
      <c r="G59" s="378">
        <v>0.021</v>
      </c>
      <c r="H59" s="251"/>
      <c r="I59" s="248"/>
      <c r="J59" s="1071" t="s">
        <v>2475</v>
      </c>
      <c r="K59" s="1072" t="s">
        <v>279</v>
      </c>
      <c r="L59" s="897">
        <v>1</v>
      </c>
      <c r="M59" s="897"/>
      <c r="N59" s="897"/>
      <c r="O59" s="897"/>
      <c r="P59" s="897"/>
      <c r="Q59" s="896" t="s">
        <v>266</v>
      </c>
      <c r="R59" s="896"/>
      <c r="S59" s="897"/>
      <c r="T59" s="897"/>
      <c r="U59" s="897"/>
      <c r="V59" s="897"/>
      <c r="W59" s="897"/>
      <c r="X59" s="899" t="s">
        <v>267</v>
      </c>
      <c r="Y59" s="897"/>
      <c r="Z59" s="897"/>
      <c r="AA59" s="899" t="s">
        <v>268</v>
      </c>
      <c r="AB59" s="897"/>
      <c r="AC59" s="897"/>
      <c r="AD59" s="1075" t="s">
        <v>280</v>
      </c>
      <c r="AE59" s="1073"/>
      <c r="AF59" s="1076"/>
      <c r="AG59" s="1439" t="s">
        <v>281</v>
      </c>
      <c r="AH59" s="1440"/>
      <c r="AI59" s="1440"/>
      <c r="AJ59" s="1441"/>
    </row>
    <row r="60" spans="1:36" ht="58.5">
      <c r="A60" s="248"/>
      <c r="B60" s="1366"/>
      <c r="C60" s="1119" t="s">
        <v>282</v>
      </c>
      <c r="D60" s="377" t="s">
        <v>2055</v>
      </c>
      <c r="E60" s="1120" t="s">
        <v>2056</v>
      </c>
      <c r="F60" s="763" t="s">
        <v>262</v>
      </c>
      <c r="G60" s="378">
        <v>0.021</v>
      </c>
      <c r="H60" s="251"/>
      <c r="I60" s="248"/>
      <c r="J60" s="1071">
        <v>4</v>
      </c>
      <c r="K60" s="1072" t="s">
        <v>283</v>
      </c>
      <c r="L60" s="897">
        <v>1</v>
      </c>
      <c r="M60" s="897"/>
      <c r="N60" s="897"/>
      <c r="O60" s="897"/>
      <c r="P60" s="897"/>
      <c r="Q60" s="1075" t="s">
        <v>284</v>
      </c>
      <c r="R60" s="896"/>
      <c r="S60" s="897"/>
      <c r="T60" s="897"/>
      <c r="U60" s="897"/>
      <c r="V60" s="897"/>
      <c r="W60" s="897"/>
      <c r="X60" s="899" t="s">
        <v>267</v>
      </c>
      <c r="Y60" s="897"/>
      <c r="Z60" s="897"/>
      <c r="AA60" s="896" t="s">
        <v>285</v>
      </c>
      <c r="AB60" s="897"/>
      <c r="AC60" s="897"/>
      <c r="AD60" s="896"/>
      <c r="AE60" s="1073" t="s">
        <v>275</v>
      </c>
      <c r="AF60" s="1076"/>
      <c r="AG60" s="1439" t="s">
        <v>286</v>
      </c>
      <c r="AH60" s="1440"/>
      <c r="AI60" s="1440"/>
      <c r="AJ60" s="1441"/>
    </row>
    <row r="61" spans="1:36" ht="34.5">
      <c r="A61" s="248"/>
      <c r="B61" s="1366"/>
      <c r="C61" s="1123" t="s">
        <v>2057</v>
      </c>
      <c r="D61" s="386" t="s">
        <v>2058</v>
      </c>
      <c r="E61" s="1124" t="s">
        <v>2059</v>
      </c>
      <c r="F61" s="766" t="s">
        <v>287</v>
      </c>
      <c r="G61" s="387">
        <v>1.48</v>
      </c>
      <c r="H61" s="251"/>
      <c r="I61" s="248"/>
      <c r="J61" s="1071" t="s">
        <v>2479</v>
      </c>
      <c r="K61" s="1072" t="s">
        <v>288</v>
      </c>
      <c r="L61" s="897">
        <v>1</v>
      </c>
      <c r="M61" s="897"/>
      <c r="N61" s="897"/>
      <c r="O61" s="897"/>
      <c r="P61" s="897"/>
      <c r="Q61" s="896"/>
      <c r="R61" s="896" t="s">
        <v>266</v>
      </c>
      <c r="S61" s="897"/>
      <c r="T61" s="897"/>
      <c r="U61" s="897"/>
      <c r="V61" s="897"/>
      <c r="W61" s="897"/>
      <c r="X61" s="899" t="s">
        <v>267</v>
      </c>
      <c r="Y61" s="897"/>
      <c r="Z61" s="897"/>
      <c r="AA61" s="896"/>
      <c r="AB61" s="899" t="s">
        <v>268</v>
      </c>
      <c r="AC61" s="897"/>
      <c r="AD61" s="896" t="s">
        <v>269</v>
      </c>
      <c r="AE61" s="1073"/>
      <c r="AF61" s="1076"/>
      <c r="AG61" s="1439" t="s">
        <v>289</v>
      </c>
      <c r="AH61" s="1440"/>
      <c r="AI61" s="1440"/>
      <c r="AJ61" s="1441"/>
    </row>
    <row r="62" spans="1:36" ht="54">
      <c r="A62" s="248"/>
      <c r="B62" s="1366"/>
      <c r="C62" s="1123" t="s">
        <v>2060</v>
      </c>
      <c r="D62" s="386" t="s">
        <v>2061</v>
      </c>
      <c r="E62" s="1124" t="s">
        <v>2062</v>
      </c>
      <c r="F62" s="766" t="s">
        <v>290</v>
      </c>
      <c r="G62" s="387">
        <v>1.42</v>
      </c>
      <c r="H62" s="251"/>
      <c r="I62" s="248"/>
      <c r="J62" s="1071">
        <v>6</v>
      </c>
      <c r="K62" s="1072" t="s">
        <v>291</v>
      </c>
      <c r="L62" s="897">
        <v>1</v>
      </c>
      <c r="M62" s="897"/>
      <c r="N62" s="897"/>
      <c r="O62" s="897"/>
      <c r="P62" s="897"/>
      <c r="Q62" s="896"/>
      <c r="R62" s="896" t="s">
        <v>273</v>
      </c>
      <c r="S62" s="897"/>
      <c r="T62" s="897"/>
      <c r="U62" s="897"/>
      <c r="V62" s="897"/>
      <c r="W62" s="897"/>
      <c r="X62" s="899" t="s">
        <v>267</v>
      </c>
      <c r="Y62" s="897"/>
      <c r="Z62" s="897"/>
      <c r="AA62" s="896" t="s">
        <v>274</v>
      </c>
      <c r="AB62" s="899" t="s">
        <v>268</v>
      </c>
      <c r="AC62" s="897"/>
      <c r="AD62" s="896"/>
      <c r="AE62" s="1073" t="s">
        <v>275</v>
      </c>
      <c r="AF62" s="1076"/>
      <c r="AG62" s="1439" t="s">
        <v>292</v>
      </c>
      <c r="AH62" s="1440"/>
      <c r="AI62" s="1440"/>
      <c r="AJ62" s="1441"/>
    </row>
    <row r="63" spans="1:36" ht="54">
      <c r="A63" s="248"/>
      <c r="B63" s="1366"/>
      <c r="C63" s="1123" t="s">
        <v>2063</v>
      </c>
      <c r="D63" s="386" t="s">
        <v>2064</v>
      </c>
      <c r="E63" s="1124" t="s">
        <v>2065</v>
      </c>
      <c r="F63" s="766" t="s">
        <v>293</v>
      </c>
      <c r="G63" s="387">
        <v>1.42</v>
      </c>
      <c r="H63" s="251"/>
      <c r="I63" s="248"/>
      <c r="J63" s="1071" t="s">
        <v>2484</v>
      </c>
      <c r="K63" s="1072" t="s">
        <v>294</v>
      </c>
      <c r="L63" s="897">
        <v>1</v>
      </c>
      <c r="M63" s="897"/>
      <c r="N63" s="897"/>
      <c r="O63" s="897"/>
      <c r="P63" s="897"/>
      <c r="Q63" s="896"/>
      <c r="R63" s="896" t="s">
        <v>266</v>
      </c>
      <c r="S63" s="897"/>
      <c r="T63" s="897"/>
      <c r="U63" s="897"/>
      <c r="V63" s="897"/>
      <c r="W63" s="897"/>
      <c r="X63" s="899" t="s">
        <v>267</v>
      </c>
      <c r="Y63" s="897"/>
      <c r="Z63" s="897"/>
      <c r="AA63" s="899" t="s">
        <v>268</v>
      </c>
      <c r="AB63" s="897"/>
      <c r="AC63" s="897"/>
      <c r="AD63" s="1075" t="s">
        <v>280</v>
      </c>
      <c r="AE63" s="1073"/>
      <c r="AF63" s="1076"/>
      <c r="AG63" s="1439" t="s">
        <v>295</v>
      </c>
      <c r="AH63" s="1440"/>
      <c r="AI63" s="1440"/>
      <c r="AJ63" s="1441"/>
    </row>
    <row r="64" spans="1:36" ht="58.5">
      <c r="A64" s="248"/>
      <c r="B64" s="1366"/>
      <c r="C64" s="585" t="s">
        <v>1488</v>
      </c>
      <c r="D64" s="102" t="s">
        <v>2374</v>
      </c>
      <c r="E64" s="1125" t="s">
        <v>2374</v>
      </c>
      <c r="F64" s="974" t="s">
        <v>2375</v>
      </c>
      <c r="G64" s="1126">
        <f>40/14</f>
        <v>2.857142857142857</v>
      </c>
      <c r="H64" s="251"/>
      <c r="I64" s="248"/>
      <c r="J64" s="1071">
        <v>8</v>
      </c>
      <c r="K64" s="1072" t="s">
        <v>296</v>
      </c>
      <c r="L64" s="897">
        <v>1</v>
      </c>
      <c r="M64" s="897"/>
      <c r="N64" s="897"/>
      <c r="O64" s="897"/>
      <c r="P64" s="897"/>
      <c r="Q64" s="896"/>
      <c r="R64" s="1075" t="s">
        <v>284</v>
      </c>
      <c r="S64" s="897"/>
      <c r="T64" s="897"/>
      <c r="U64" s="897"/>
      <c r="V64" s="897"/>
      <c r="W64" s="897"/>
      <c r="X64" s="899" t="s">
        <v>267</v>
      </c>
      <c r="Y64" s="897"/>
      <c r="Z64" s="897"/>
      <c r="AA64" s="896" t="s">
        <v>285</v>
      </c>
      <c r="AB64" s="897"/>
      <c r="AC64" s="897"/>
      <c r="AD64" s="897"/>
      <c r="AE64" s="1073" t="s">
        <v>275</v>
      </c>
      <c r="AF64" s="1076"/>
      <c r="AG64" s="1439" t="s">
        <v>297</v>
      </c>
      <c r="AH64" s="1440"/>
      <c r="AI64" s="1440"/>
      <c r="AJ64" s="1441"/>
    </row>
    <row r="65" spans="1:36" ht="58.5">
      <c r="A65" s="248"/>
      <c r="B65" s="1366"/>
      <c r="C65" s="585" t="s">
        <v>1492</v>
      </c>
      <c r="D65" s="102" t="s">
        <v>2376</v>
      </c>
      <c r="E65" s="1125" t="s">
        <v>2376</v>
      </c>
      <c r="F65" s="104" t="s">
        <v>2375</v>
      </c>
      <c r="G65" s="1126">
        <f>-64/14</f>
        <v>-4.571428571428571</v>
      </c>
      <c r="H65" s="251"/>
      <c r="I65" s="248"/>
      <c r="J65" s="1071" t="s">
        <v>2493</v>
      </c>
      <c r="K65" s="1072" t="s">
        <v>298</v>
      </c>
      <c r="L65" s="897">
        <v>-1</v>
      </c>
      <c r="M65" s="897"/>
      <c r="N65" s="897"/>
      <c r="O65" s="280" t="s">
        <v>1805</v>
      </c>
      <c r="P65" s="899" t="s">
        <v>876</v>
      </c>
      <c r="Q65" s="897"/>
      <c r="R65" s="897"/>
      <c r="S65" s="897"/>
      <c r="T65" s="897"/>
      <c r="U65" s="897"/>
      <c r="V65" s="897"/>
      <c r="W65" s="897"/>
      <c r="X65" s="279" t="s">
        <v>299</v>
      </c>
      <c r="Y65" s="279" t="s">
        <v>300</v>
      </c>
      <c r="Z65" s="897"/>
      <c r="AA65" s="897"/>
      <c r="AB65" s="897"/>
      <c r="AC65" s="897"/>
      <c r="AD65" s="897"/>
      <c r="AE65" s="1077"/>
      <c r="AF65" s="48"/>
      <c r="AG65" s="1439" t="s">
        <v>1067</v>
      </c>
      <c r="AH65" s="1440"/>
      <c r="AI65" s="1440"/>
      <c r="AJ65" s="1441"/>
    </row>
    <row r="66" spans="1:36" ht="19.5">
      <c r="A66" s="248"/>
      <c r="B66" s="1366"/>
      <c r="C66" s="585" t="s">
        <v>1498</v>
      </c>
      <c r="D66" s="102" t="s">
        <v>2377</v>
      </c>
      <c r="E66" s="1125" t="s">
        <v>2377</v>
      </c>
      <c r="F66" s="104" t="s">
        <v>2375</v>
      </c>
      <c r="G66" s="1127">
        <f>-24/14</f>
        <v>-1.7142857142857142</v>
      </c>
      <c r="H66" s="251"/>
      <c r="I66" s="248"/>
      <c r="J66" s="1078" t="s">
        <v>2499</v>
      </c>
      <c r="K66" s="1079" t="s">
        <v>301</v>
      </c>
      <c r="L66" s="885"/>
      <c r="M66" s="885"/>
      <c r="N66" s="885"/>
      <c r="O66" s="885"/>
      <c r="P66" s="885">
        <v>-1</v>
      </c>
      <c r="Q66" s="885">
        <v>1</v>
      </c>
      <c r="R66" s="885"/>
      <c r="S66" s="885"/>
      <c r="T66" s="885"/>
      <c r="U66" s="885"/>
      <c r="V66" s="885"/>
      <c r="W66" s="885"/>
      <c r="X66" s="885"/>
      <c r="Y66" s="885"/>
      <c r="Z66" s="885"/>
      <c r="AA66" s="885"/>
      <c r="AB66" s="885"/>
      <c r="AC66" s="885"/>
      <c r="AD66" s="885"/>
      <c r="AE66" s="1080"/>
      <c r="AF66" s="57"/>
      <c r="AG66" s="1439" t="s">
        <v>302</v>
      </c>
      <c r="AH66" s="1440"/>
      <c r="AI66" s="1440"/>
      <c r="AJ66" s="1441"/>
    </row>
    <row r="67" spans="1:36" ht="35.25" thickBot="1">
      <c r="A67" s="248"/>
      <c r="B67" s="1367"/>
      <c r="C67" s="588" t="s">
        <v>303</v>
      </c>
      <c r="D67" s="1128" t="s">
        <v>2066</v>
      </c>
      <c r="E67" s="1129" t="s">
        <v>2066</v>
      </c>
      <c r="F67" s="1130" t="s">
        <v>2067</v>
      </c>
      <c r="G67" s="1131">
        <v>8</v>
      </c>
      <c r="H67" s="251"/>
      <c r="I67" s="248"/>
      <c r="J67" s="1078" t="s">
        <v>2502</v>
      </c>
      <c r="K67" s="1079" t="s">
        <v>304</v>
      </c>
      <c r="L67" s="885"/>
      <c r="M67" s="885"/>
      <c r="N67" s="885"/>
      <c r="O67" s="885"/>
      <c r="P67" s="885">
        <v>-1</v>
      </c>
      <c r="Q67" s="268" t="s">
        <v>2068</v>
      </c>
      <c r="R67" s="885"/>
      <c r="S67" s="885"/>
      <c r="T67" s="885"/>
      <c r="U67" s="885"/>
      <c r="V67" s="885"/>
      <c r="W67" s="885"/>
      <c r="X67" s="885"/>
      <c r="Y67" s="885"/>
      <c r="Z67" s="885"/>
      <c r="AA67" s="885"/>
      <c r="AB67" s="885"/>
      <c r="AC67" s="885"/>
      <c r="AD67" s="885"/>
      <c r="AE67" s="1080"/>
      <c r="AF67" s="1081" t="s">
        <v>305</v>
      </c>
      <c r="AG67" s="1439" t="s">
        <v>306</v>
      </c>
      <c r="AH67" s="1440"/>
      <c r="AI67" s="1440"/>
      <c r="AJ67" s="1441"/>
    </row>
    <row r="68" spans="1:36" ht="34.5">
      <c r="A68" s="248"/>
      <c r="B68" s="1365" t="s">
        <v>2380</v>
      </c>
      <c r="C68" s="1132" t="s">
        <v>2381</v>
      </c>
      <c r="D68" s="558" t="s">
        <v>2069</v>
      </c>
      <c r="E68" s="1095" t="s">
        <v>2383</v>
      </c>
      <c r="F68" s="776" t="s">
        <v>1072</v>
      </c>
      <c r="G68" s="313">
        <v>2.81</v>
      </c>
      <c r="H68" s="1133"/>
      <c r="I68" s="248"/>
      <c r="J68" s="1078" t="s">
        <v>2082</v>
      </c>
      <c r="K68" s="1079" t="s">
        <v>307</v>
      </c>
      <c r="L68" s="885"/>
      <c r="M68" s="885"/>
      <c r="N68" s="885"/>
      <c r="O68" s="885"/>
      <c r="P68" s="885">
        <v>-1</v>
      </c>
      <c r="Q68" s="268" t="s">
        <v>2070</v>
      </c>
      <c r="R68" s="885"/>
      <c r="S68" s="885"/>
      <c r="T68" s="885"/>
      <c r="U68" s="885"/>
      <c r="V68" s="885"/>
      <c r="W68" s="885"/>
      <c r="X68" s="885"/>
      <c r="Y68" s="885"/>
      <c r="Z68" s="885"/>
      <c r="AA68" s="885"/>
      <c r="AB68" s="885"/>
      <c r="AC68" s="885"/>
      <c r="AD68" s="885"/>
      <c r="AE68" s="1080"/>
      <c r="AF68" s="1081" t="s">
        <v>308</v>
      </c>
      <c r="AG68" s="1439" t="s">
        <v>309</v>
      </c>
      <c r="AH68" s="1440"/>
      <c r="AI68" s="1440"/>
      <c r="AJ68" s="1441"/>
    </row>
    <row r="69" spans="1:36" ht="19.5">
      <c r="A69" s="248"/>
      <c r="B69" s="1366"/>
      <c r="C69" s="596" t="s">
        <v>1318</v>
      </c>
      <c r="D69" s="594" t="s">
        <v>2384</v>
      </c>
      <c r="E69" s="1095" t="s">
        <v>2385</v>
      </c>
      <c r="F69" s="776" t="s">
        <v>1075</v>
      </c>
      <c r="G69" s="597">
        <v>0.15</v>
      </c>
      <c r="H69" s="1133"/>
      <c r="I69" s="248"/>
      <c r="J69" s="1078" t="s">
        <v>2234</v>
      </c>
      <c r="K69" s="1079" t="s">
        <v>1960</v>
      </c>
      <c r="L69" s="885"/>
      <c r="M69" s="885"/>
      <c r="N69" s="885"/>
      <c r="O69" s="885"/>
      <c r="P69" s="885"/>
      <c r="Q69" s="885"/>
      <c r="R69" s="885"/>
      <c r="S69" s="885"/>
      <c r="T69" s="885"/>
      <c r="U69" s="885"/>
      <c r="V69" s="885"/>
      <c r="W69" s="885"/>
      <c r="X69" s="885"/>
      <c r="Y69" s="885">
        <v>-1</v>
      </c>
      <c r="Z69" s="885">
        <v>1</v>
      </c>
      <c r="AA69" s="885"/>
      <c r="AB69" s="885"/>
      <c r="AC69" s="885"/>
      <c r="AD69" s="885"/>
      <c r="AE69" s="1080"/>
      <c r="AF69" s="57"/>
      <c r="AG69" s="1442" t="s">
        <v>310</v>
      </c>
      <c r="AH69" s="1440"/>
      <c r="AI69" s="1440"/>
      <c r="AJ69" s="1441"/>
    </row>
    <row r="70" spans="1:36" ht="19.5">
      <c r="A70" s="248"/>
      <c r="B70" s="1366"/>
      <c r="C70" s="984" t="s">
        <v>2386</v>
      </c>
      <c r="D70" s="594" t="s">
        <v>2071</v>
      </c>
      <c r="E70" s="1095" t="s">
        <v>2388</v>
      </c>
      <c r="F70" s="986" t="s">
        <v>2389</v>
      </c>
      <c r="G70" s="597">
        <v>1</v>
      </c>
      <c r="H70" s="1133"/>
      <c r="I70" s="248"/>
      <c r="J70" s="1078" t="s">
        <v>2237</v>
      </c>
      <c r="K70" s="1079" t="s">
        <v>1962</v>
      </c>
      <c r="L70" s="885"/>
      <c r="M70" s="885"/>
      <c r="N70" s="885"/>
      <c r="O70" s="885"/>
      <c r="P70" s="885"/>
      <c r="Q70" s="885"/>
      <c r="R70" s="885"/>
      <c r="S70" s="885"/>
      <c r="T70" s="885"/>
      <c r="U70" s="885"/>
      <c r="V70" s="885"/>
      <c r="W70" s="885"/>
      <c r="X70" s="885"/>
      <c r="Y70" s="885"/>
      <c r="Z70" s="885">
        <v>-1</v>
      </c>
      <c r="AA70" s="885"/>
      <c r="AB70" s="885">
        <v>1</v>
      </c>
      <c r="AC70" s="885"/>
      <c r="AD70" s="885"/>
      <c r="AE70" s="1080"/>
      <c r="AF70" s="57"/>
      <c r="AG70" s="1439" t="s">
        <v>311</v>
      </c>
      <c r="AH70" s="1440"/>
      <c r="AI70" s="1440"/>
      <c r="AJ70" s="1441"/>
    </row>
    <row r="71" spans="1:36" ht="54">
      <c r="A71" s="248"/>
      <c r="B71" s="1366"/>
      <c r="C71" s="984" t="s">
        <v>2602</v>
      </c>
      <c r="D71" s="594" t="s">
        <v>2072</v>
      </c>
      <c r="E71" s="1095" t="s">
        <v>2604</v>
      </c>
      <c r="F71" s="986" t="s">
        <v>2389</v>
      </c>
      <c r="G71" s="597">
        <v>0.5</v>
      </c>
      <c r="H71" s="1133"/>
      <c r="I71" s="248"/>
      <c r="J71" s="1078" t="s">
        <v>2241</v>
      </c>
      <c r="K71" s="1079" t="s">
        <v>312</v>
      </c>
      <c r="L71" s="268" t="s">
        <v>2073</v>
      </c>
      <c r="M71" s="885"/>
      <c r="N71" s="885"/>
      <c r="O71" s="885"/>
      <c r="P71" s="885"/>
      <c r="Q71" s="885">
        <v>-1</v>
      </c>
      <c r="R71" s="886" t="s">
        <v>313</v>
      </c>
      <c r="S71" s="885"/>
      <c r="T71" s="885"/>
      <c r="U71" s="885"/>
      <c r="V71" s="885"/>
      <c r="W71" s="885"/>
      <c r="X71" s="886" t="s">
        <v>314</v>
      </c>
      <c r="Y71" s="885"/>
      <c r="Z71" s="885"/>
      <c r="AA71" s="885"/>
      <c r="AB71" s="886" t="s">
        <v>315</v>
      </c>
      <c r="AC71" s="885"/>
      <c r="AD71" s="885"/>
      <c r="AE71" s="1080"/>
      <c r="AF71" s="1081" t="s">
        <v>316</v>
      </c>
      <c r="AG71" s="1439" t="s">
        <v>317</v>
      </c>
      <c r="AH71" s="1440"/>
      <c r="AI71" s="1440"/>
      <c r="AJ71" s="1441"/>
    </row>
    <row r="72" spans="1:36" ht="39">
      <c r="A72" s="248"/>
      <c r="B72" s="1366"/>
      <c r="C72" s="1134" t="s">
        <v>318</v>
      </c>
      <c r="D72" s="1135" t="s">
        <v>2074</v>
      </c>
      <c r="E72" s="1136" t="s">
        <v>2075</v>
      </c>
      <c r="F72" s="89" t="s">
        <v>1340</v>
      </c>
      <c r="G72" s="1137">
        <v>0.005</v>
      </c>
      <c r="H72" s="1133"/>
      <c r="I72" s="248"/>
      <c r="J72" s="1082" t="s">
        <v>2244</v>
      </c>
      <c r="K72" s="1083" t="s">
        <v>319</v>
      </c>
      <c r="L72" s="925"/>
      <c r="M72" s="925">
        <v>1</v>
      </c>
      <c r="N72" s="925"/>
      <c r="O72" s="925"/>
      <c r="P72" s="925"/>
      <c r="Q72" s="925"/>
      <c r="R72" s="925"/>
      <c r="S72" s="925"/>
      <c r="T72" s="925"/>
      <c r="U72" s="925"/>
      <c r="V72" s="925"/>
      <c r="W72" s="925"/>
      <c r="X72" s="926" t="s">
        <v>320</v>
      </c>
      <c r="Y72" s="925"/>
      <c r="Z72" s="925"/>
      <c r="AA72" s="924" t="s">
        <v>1308</v>
      </c>
      <c r="AB72" s="924" t="s">
        <v>321</v>
      </c>
      <c r="AC72" s="924"/>
      <c r="AD72" s="924" t="s">
        <v>949</v>
      </c>
      <c r="AE72" s="1084"/>
      <c r="AF72" s="51"/>
      <c r="AG72" s="1439" t="s">
        <v>322</v>
      </c>
      <c r="AH72" s="1440"/>
      <c r="AI72" s="1440"/>
      <c r="AJ72" s="1441"/>
    </row>
    <row r="73" spans="1:36" ht="58.5">
      <c r="A73" s="248"/>
      <c r="B73" s="1366"/>
      <c r="C73" s="403" t="s">
        <v>1325</v>
      </c>
      <c r="D73" s="125" t="s">
        <v>2391</v>
      </c>
      <c r="E73" s="1096" t="s">
        <v>2392</v>
      </c>
      <c r="F73" s="724" t="s">
        <v>1077</v>
      </c>
      <c r="G73" s="322">
        <v>3.2</v>
      </c>
      <c r="H73" s="1133"/>
      <c r="I73" s="248"/>
      <c r="J73" s="1082">
        <v>17</v>
      </c>
      <c r="K73" s="1083" t="s">
        <v>323</v>
      </c>
      <c r="L73" s="925"/>
      <c r="M73" s="925">
        <v>-1</v>
      </c>
      <c r="N73" s="925"/>
      <c r="O73" s="303" t="s">
        <v>1824</v>
      </c>
      <c r="P73" s="926" t="s">
        <v>958</v>
      </c>
      <c r="Q73" s="925"/>
      <c r="R73" s="925"/>
      <c r="S73" s="925"/>
      <c r="T73" s="925"/>
      <c r="U73" s="925"/>
      <c r="V73" s="925"/>
      <c r="W73" s="925"/>
      <c r="X73" s="303" t="s">
        <v>324</v>
      </c>
      <c r="Y73" s="309" t="s">
        <v>325</v>
      </c>
      <c r="Z73" s="925"/>
      <c r="AA73" s="925"/>
      <c r="AB73" s="925"/>
      <c r="AC73" s="925"/>
      <c r="AD73" s="925"/>
      <c r="AE73" s="1085"/>
      <c r="AF73" s="51"/>
      <c r="AG73" s="1439" t="s">
        <v>1069</v>
      </c>
      <c r="AH73" s="1440"/>
      <c r="AI73" s="1440"/>
      <c r="AJ73" s="1441"/>
    </row>
    <row r="74" spans="1:36" ht="73.5">
      <c r="A74" s="248"/>
      <c r="B74" s="1366"/>
      <c r="C74" s="403" t="s">
        <v>1326</v>
      </c>
      <c r="D74" s="125" t="s">
        <v>2076</v>
      </c>
      <c r="E74" s="1096" t="s">
        <v>2395</v>
      </c>
      <c r="F74" s="724" t="s">
        <v>2389</v>
      </c>
      <c r="G74" s="322">
        <v>0.37</v>
      </c>
      <c r="H74" s="1133"/>
      <c r="I74" s="248"/>
      <c r="J74" s="1086">
        <v>18</v>
      </c>
      <c r="K74" s="1087" t="s">
        <v>326</v>
      </c>
      <c r="L74" s="904"/>
      <c r="M74" s="904"/>
      <c r="N74" s="904">
        <v>1</v>
      </c>
      <c r="O74" s="904"/>
      <c r="P74" s="904"/>
      <c r="Q74" s="904"/>
      <c r="R74" s="904"/>
      <c r="S74" s="903" t="s">
        <v>327</v>
      </c>
      <c r="T74" s="904"/>
      <c r="U74" s="904"/>
      <c r="V74" s="297" t="s">
        <v>328</v>
      </c>
      <c r="W74" s="908" t="s">
        <v>329</v>
      </c>
      <c r="X74" s="903" t="s">
        <v>330</v>
      </c>
      <c r="Y74" s="904"/>
      <c r="Z74" s="904"/>
      <c r="AA74" s="904"/>
      <c r="AB74" s="905" t="s">
        <v>331</v>
      </c>
      <c r="AC74" s="904"/>
      <c r="AD74" s="903" t="s">
        <v>332</v>
      </c>
      <c r="AE74" s="1088"/>
      <c r="AF74" s="1089"/>
      <c r="AG74" s="1439" t="s">
        <v>333</v>
      </c>
      <c r="AH74" s="1440"/>
      <c r="AI74" s="1440"/>
      <c r="AJ74" s="1441"/>
    </row>
    <row r="75" spans="1:36" ht="73.5">
      <c r="A75" s="248"/>
      <c r="B75" s="1366"/>
      <c r="C75" s="406" t="s">
        <v>2619</v>
      </c>
      <c r="D75" s="125" t="s">
        <v>2077</v>
      </c>
      <c r="E75" s="1138" t="s">
        <v>2621</v>
      </c>
      <c r="F75" s="777" t="s">
        <v>1328</v>
      </c>
      <c r="G75" s="322">
        <v>4</v>
      </c>
      <c r="H75" s="1133"/>
      <c r="I75" s="248"/>
      <c r="J75" s="1086" t="s">
        <v>2252</v>
      </c>
      <c r="K75" s="1087" t="s">
        <v>334</v>
      </c>
      <c r="L75" s="904"/>
      <c r="M75" s="904"/>
      <c r="N75" s="904">
        <v>1</v>
      </c>
      <c r="O75" s="904"/>
      <c r="P75" s="904"/>
      <c r="Q75" s="904"/>
      <c r="R75" s="904"/>
      <c r="S75" s="903" t="s">
        <v>327</v>
      </c>
      <c r="T75" s="904"/>
      <c r="U75" s="904"/>
      <c r="V75" s="297" t="s">
        <v>328</v>
      </c>
      <c r="W75" s="908" t="s">
        <v>329</v>
      </c>
      <c r="X75" s="903" t="s">
        <v>330</v>
      </c>
      <c r="Y75" s="904"/>
      <c r="Z75" s="904"/>
      <c r="AA75" s="905" t="s">
        <v>331</v>
      </c>
      <c r="AB75" s="904"/>
      <c r="AC75" s="904"/>
      <c r="AD75" s="1091" t="s">
        <v>335</v>
      </c>
      <c r="AE75" s="1088"/>
      <c r="AF75" s="1089"/>
      <c r="AG75" s="1439" t="s">
        <v>336</v>
      </c>
      <c r="AH75" s="1440"/>
      <c r="AI75" s="1440"/>
      <c r="AJ75" s="1441"/>
    </row>
    <row r="76" spans="1:36" ht="28.5">
      <c r="A76" s="248"/>
      <c r="B76" s="1366"/>
      <c r="C76" s="403" t="s">
        <v>1329</v>
      </c>
      <c r="D76" s="125" t="s">
        <v>1575</v>
      </c>
      <c r="E76" s="1096" t="s">
        <v>2623</v>
      </c>
      <c r="F76" s="724" t="s">
        <v>1330</v>
      </c>
      <c r="G76" s="322">
        <v>5</v>
      </c>
      <c r="H76" s="1133"/>
      <c r="I76" s="248"/>
      <c r="J76" s="1086" t="s">
        <v>2254</v>
      </c>
      <c r="K76" s="1087" t="s">
        <v>337</v>
      </c>
      <c r="L76" s="904"/>
      <c r="M76" s="904"/>
      <c r="N76" s="904">
        <v>1</v>
      </c>
      <c r="O76" s="904"/>
      <c r="P76" s="904"/>
      <c r="Q76" s="904"/>
      <c r="R76" s="904"/>
      <c r="S76" s="903" t="s">
        <v>327</v>
      </c>
      <c r="T76" s="904"/>
      <c r="U76" s="904"/>
      <c r="V76" s="905" t="s">
        <v>338</v>
      </c>
      <c r="W76" s="904"/>
      <c r="X76" s="904"/>
      <c r="Y76" s="904"/>
      <c r="Z76" s="904"/>
      <c r="AA76" s="904"/>
      <c r="AB76" s="905" t="s">
        <v>331</v>
      </c>
      <c r="AC76" s="904"/>
      <c r="AD76" s="903" t="s">
        <v>332</v>
      </c>
      <c r="AE76" s="1088"/>
      <c r="AF76" s="1089"/>
      <c r="AG76" s="1439" t="s">
        <v>339</v>
      </c>
      <c r="AH76" s="1440"/>
      <c r="AI76" s="1440"/>
      <c r="AJ76" s="1441"/>
    </row>
    <row r="77" spans="1:36" ht="39">
      <c r="A77" s="248"/>
      <c r="B77" s="1366"/>
      <c r="C77" s="403" t="s">
        <v>1331</v>
      </c>
      <c r="D77" s="125" t="s">
        <v>1575</v>
      </c>
      <c r="E77" s="1096" t="s">
        <v>2624</v>
      </c>
      <c r="F77" s="724" t="s">
        <v>1333</v>
      </c>
      <c r="G77" s="322">
        <v>5</v>
      </c>
      <c r="H77" s="1133"/>
      <c r="I77" s="248"/>
      <c r="J77" s="1086" t="s">
        <v>2258</v>
      </c>
      <c r="K77" s="1087" t="s">
        <v>340</v>
      </c>
      <c r="L77" s="904"/>
      <c r="M77" s="904"/>
      <c r="N77" s="904">
        <v>1</v>
      </c>
      <c r="O77" s="904"/>
      <c r="P77" s="904"/>
      <c r="Q77" s="904"/>
      <c r="R77" s="904"/>
      <c r="S77" s="903" t="s">
        <v>327</v>
      </c>
      <c r="T77" s="904"/>
      <c r="U77" s="904"/>
      <c r="V77" s="905" t="s">
        <v>338</v>
      </c>
      <c r="W77" s="904"/>
      <c r="X77" s="904"/>
      <c r="Y77" s="904"/>
      <c r="Z77" s="904"/>
      <c r="AA77" s="905" t="s">
        <v>331</v>
      </c>
      <c r="AB77" s="904"/>
      <c r="AC77" s="904"/>
      <c r="AD77" s="1091" t="s">
        <v>335</v>
      </c>
      <c r="AE77" s="1088"/>
      <c r="AF77" s="1089"/>
      <c r="AG77" s="1439" t="s">
        <v>341</v>
      </c>
      <c r="AH77" s="1440"/>
      <c r="AI77" s="1440"/>
      <c r="AJ77" s="1441"/>
    </row>
    <row r="78" spans="1:36" ht="73.5">
      <c r="A78" s="248"/>
      <c r="B78" s="1366"/>
      <c r="C78" s="406" t="s">
        <v>710</v>
      </c>
      <c r="D78" s="125" t="s">
        <v>2400</v>
      </c>
      <c r="E78" s="1138" t="s">
        <v>2166</v>
      </c>
      <c r="F78" s="777" t="s">
        <v>1077</v>
      </c>
      <c r="G78" s="322">
        <v>0.62</v>
      </c>
      <c r="H78" s="1133"/>
      <c r="I78" s="248"/>
      <c r="J78" s="1086" t="s">
        <v>1763</v>
      </c>
      <c r="K78" s="1087" t="s">
        <v>342</v>
      </c>
      <c r="L78" s="904"/>
      <c r="M78" s="904"/>
      <c r="N78" s="904">
        <v>1</v>
      </c>
      <c r="O78" s="904"/>
      <c r="P78" s="904"/>
      <c r="Q78" s="904"/>
      <c r="R78" s="904"/>
      <c r="S78" s="903" t="s">
        <v>327</v>
      </c>
      <c r="T78" s="904"/>
      <c r="U78" s="904"/>
      <c r="V78" s="297" t="s">
        <v>343</v>
      </c>
      <c r="W78" s="908" t="s">
        <v>344</v>
      </c>
      <c r="X78" s="903" t="s">
        <v>345</v>
      </c>
      <c r="Y78" s="904"/>
      <c r="Z78" s="904"/>
      <c r="AA78" s="903" t="s">
        <v>346</v>
      </c>
      <c r="AB78" s="905" t="s">
        <v>331</v>
      </c>
      <c r="AC78" s="904"/>
      <c r="AD78" s="904"/>
      <c r="AE78" s="1097" t="s">
        <v>347</v>
      </c>
      <c r="AF78" s="1089"/>
      <c r="AG78" s="1439" t="s">
        <v>348</v>
      </c>
      <c r="AH78" s="1440"/>
      <c r="AI78" s="1440"/>
      <c r="AJ78" s="1441"/>
    </row>
    <row r="79" spans="1:36" ht="78">
      <c r="A79" s="248"/>
      <c r="B79" s="1366"/>
      <c r="C79" s="403" t="s">
        <v>1334</v>
      </c>
      <c r="D79" s="125" t="s">
        <v>1576</v>
      </c>
      <c r="E79" s="1096" t="s">
        <v>1577</v>
      </c>
      <c r="F79" s="724" t="s">
        <v>1330</v>
      </c>
      <c r="G79" s="322">
        <v>2</v>
      </c>
      <c r="H79" s="1133"/>
      <c r="I79" s="248"/>
      <c r="J79" s="1086" t="s">
        <v>1982</v>
      </c>
      <c r="K79" s="1087" t="s">
        <v>349</v>
      </c>
      <c r="L79" s="904"/>
      <c r="M79" s="904"/>
      <c r="N79" s="904">
        <v>-1</v>
      </c>
      <c r="O79" s="1098" t="s">
        <v>2010</v>
      </c>
      <c r="P79" s="904"/>
      <c r="Q79" s="904"/>
      <c r="R79" s="904"/>
      <c r="S79" s="904"/>
      <c r="T79" s="904"/>
      <c r="U79" s="291" t="s">
        <v>1578</v>
      </c>
      <c r="V79" s="904"/>
      <c r="W79" s="904"/>
      <c r="X79" s="295" t="s">
        <v>350</v>
      </c>
      <c r="Y79" s="904"/>
      <c r="Z79" s="291" t="s">
        <v>351</v>
      </c>
      <c r="AA79" s="903"/>
      <c r="AB79" s="295" t="s">
        <v>352</v>
      </c>
      <c r="AC79" s="904"/>
      <c r="AD79" s="905" t="s">
        <v>353</v>
      </c>
      <c r="AE79" s="1099"/>
      <c r="AF79" s="1089"/>
      <c r="AG79" s="1439" t="s">
        <v>354</v>
      </c>
      <c r="AH79" s="1440"/>
      <c r="AI79" s="1440"/>
      <c r="AJ79" s="1441"/>
    </row>
    <row r="80" spans="1:36" ht="19.5">
      <c r="A80" s="248"/>
      <c r="B80" s="1366"/>
      <c r="C80" s="415" t="s">
        <v>1081</v>
      </c>
      <c r="D80" s="125" t="s">
        <v>1579</v>
      </c>
      <c r="E80" s="1096" t="s">
        <v>2403</v>
      </c>
      <c r="F80" s="724" t="s">
        <v>1082</v>
      </c>
      <c r="G80" s="322">
        <v>0.002</v>
      </c>
      <c r="H80" s="1133"/>
      <c r="I80" s="248"/>
      <c r="J80" s="1086" t="s">
        <v>1987</v>
      </c>
      <c r="K80" s="1087" t="s">
        <v>355</v>
      </c>
      <c r="L80" s="904"/>
      <c r="M80" s="904"/>
      <c r="N80" s="904"/>
      <c r="O80" s="1100"/>
      <c r="P80" s="904"/>
      <c r="Q80" s="904"/>
      <c r="R80" s="904"/>
      <c r="S80" s="904"/>
      <c r="T80" s="904"/>
      <c r="U80" s="904"/>
      <c r="V80" s="904">
        <v>-1</v>
      </c>
      <c r="W80" s="904"/>
      <c r="X80" s="904">
        <v>1</v>
      </c>
      <c r="Y80" s="904"/>
      <c r="Z80" s="904"/>
      <c r="AA80" s="903"/>
      <c r="AB80" s="908"/>
      <c r="AC80" s="904"/>
      <c r="AD80" s="904"/>
      <c r="AE80" s="1099"/>
      <c r="AF80" s="1089"/>
      <c r="AG80" s="1439" t="s">
        <v>356</v>
      </c>
      <c r="AH80" s="1440"/>
      <c r="AI80" s="1440"/>
      <c r="AJ80" s="1441"/>
    </row>
    <row r="81" spans="1:36" ht="19.5">
      <c r="A81" s="248"/>
      <c r="B81" s="1366"/>
      <c r="C81" s="415" t="s">
        <v>1083</v>
      </c>
      <c r="D81" s="125" t="s">
        <v>2404</v>
      </c>
      <c r="E81" s="1139" t="s">
        <v>2405</v>
      </c>
      <c r="F81" s="724" t="s">
        <v>1084</v>
      </c>
      <c r="G81" s="322">
        <v>0.1</v>
      </c>
      <c r="H81" s="1133"/>
      <c r="I81" s="248"/>
      <c r="J81" s="1086" t="s">
        <v>1989</v>
      </c>
      <c r="K81" s="1087" t="s">
        <v>357</v>
      </c>
      <c r="L81" s="904"/>
      <c r="M81" s="904"/>
      <c r="N81" s="904"/>
      <c r="O81" s="1100"/>
      <c r="P81" s="904"/>
      <c r="Q81" s="904"/>
      <c r="R81" s="904"/>
      <c r="S81" s="904"/>
      <c r="T81" s="904"/>
      <c r="U81" s="904"/>
      <c r="V81" s="904"/>
      <c r="W81" s="904">
        <v>-1</v>
      </c>
      <c r="X81" s="904">
        <v>1</v>
      </c>
      <c r="Y81" s="904"/>
      <c r="Z81" s="904"/>
      <c r="AA81" s="903"/>
      <c r="AB81" s="908"/>
      <c r="AC81" s="904"/>
      <c r="AD81" s="904"/>
      <c r="AE81" s="1099"/>
      <c r="AF81" s="1089"/>
      <c r="AG81" s="1439" t="s">
        <v>358</v>
      </c>
      <c r="AH81" s="1440"/>
      <c r="AI81" s="1440"/>
      <c r="AJ81" s="1441"/>
    </row>
    <row r="82" spans="1:36" ht="19.5">
      <c r="A82" s="248"/>
      <c r="B82" s="1366"/>
      <c r="C82" s="415" t="s">
        <v>1091</v>
      </c>
      <c r="D82" s="125" t="s">
        <v>1580</v>
      </c>
      <c r="E82" s="1096" t="s">
        <v>2628</v>
      </c>
      <c r="F82" s="724" t="s">
        <v>1092</v>
      </c>
      <c r="G82" s="322">
        <v>0.005</v>
      </c>
      <c r="H82" s="1133"/>
      <c r="I82" s="248"/>
      <c r="J82" s="1086" t="s">
        <v>1993</v>
      </c>
      <c r="K82" s="1087" t="s">
        <v>359</v>
      </c>
      <c r="L82" s="904"/>
      <c r="M82" s="904"/>
      <c r="N82" s="904"/>
      <c r="O82" s="1100"/>
      <c r="P82" s="904"/>
      <c r="Q82" s="904"/>
      <c r="R82" s="904">
        <v>1</v>
      </c>
      <c r="S82" s="904">
        <v>-1</v>
      </c>
      <c r="T82" s="904"/>
      <c r="U82" s="904"/>
      <c r="V82" s="904"/>
      <c r="W82" s="904"/>
      <c r="X82" s="904"/>
      <c r="Y82" s="904"/>
      <c r="Z82" s="904"/>
      <c r="AA82" s="903"/>
      <c r="AB82" s="908"/>
      <c r="AC82" s="904"/>
      <c r="AD82" s="904"/>
      <c r="AE82" s="1099"/>
      <c r="AF82" s="1089"/>
      <c r="AG82" s="1439" t="s">
        <v>360</v>
      </c>
      <c r="AH82" s="1440"/>
      <c r="AI82" s="1440"/>
      <c r="AJ82" s="1441"/>
    </row>
    <row r="83" spans="1:36" ht="78">
      <c r="A83" s="248"/>
      <c r="B83" s="1366"/>
      <c r="C83" s="423" t="s">
        <v>1344</v>
      </c>
      <c r="D83" s="337" t="s">
        <v>1581</v>
      </c>
      <c r="E83" s="1140" t="s">
        <v>2635</v>
      </c>
      <c r="F83" s="781" t="s">
        <v>1345</v>
      </c>
      <c r="G83" s="338">
        <v>2</v>
      </c>
      <c r="H83" s="1133"/>
      <c r="I83" s="248"/>
      <c r="J83" s="1086" t="s">
        <v>1995</v>
      </c>
      <c r="K83" s="1087" t="s">
        <v>361</v>
      </c>
      <c r="L83" s="904"/>
      <c r="M83" s="904"/>
      <c r="N83" s="904">
        <v>-1</v>
      </c>
      <c r="O83" s="1098" t="s">
        <v>2010</v>
      </c>
      <c r="P83" s="904"/>
      <c r="Q83" s="904"/>
      <c r="R83" s="904"/>
      <c r="S83" s="904"/>
      <c r="T83" s="904"/>
      <c r="U83" s="291" t="s">
        <v>1578</v>
      </c>
      <c r="V83" s="904"/>
      <c r="W83" s="904"/>
      <c r="X83" s="295" t="s">
        <v>350</v>
      </c>
      <c r="Y83" s="904"/>
      <c r="Z83" s="291" t="s">
        <v>351</v>
      </c>
      <c r="AA83" s="903" t="s">
        <v>362</v>
      </c>
      <c r="AB83" s="295" t="s">
        <v>352</v>
      </c>
      <c r="AC83" s="904"/>
      <c r="AD83" s="904"/>
      <c r="AE83" s="1097" t="s">
        <v>363</v>
      </c>
      <c r="AF83" s="1089"/>
      <c r="AG83" s="1439" t="s">
        <v>364</v>
      </c>
      <c r="AH83" s="1440"/>
      <c r="AI83" s="1440"/>
      <c r="AJ83" s="1441"/>
    </row>
    <row r="84" spans="1:36" ht="19.5">
      <c r="A84" s="248"/>
      <c r="B84" s="1366"/>
      <c r="C84" s="427" t="s">
        <v>1352</v>
      </c>
      <c r="D84" s="337" t="s">
        <v>1582</v>
      </c>
      <c r="E84" s="1101" t="s">
        <v>2646</v>
      </c>
      <c r="F84" s="733" t="s">
        <v>1077</v>
      </c>
      <c r="G84" s="338">
        <v>0.95</v>
      </c>
      <c r="H84" s="1133"/>
      <c r="I84" s="248"/>
      <c r="J84" s="1086" t="s">
        <v>1998</v>
      </c>
      <c r="K84" s="1087" t="s">
        <v>365</v>
      </c>
      <c r="L84" s="904"/>
      <c r="M84" s="904"/>
      <c r="N84" s="904"/>
      <c r="O84" s="1100"/>
      <c r="P84" s="904"/>
      <c r="Q84" s="904"/>
      <c r="R84" s="904"/>
      <c r="S84" s="904"/>
      <c r="T84" s="904"/>
      <c r="U84" s="904"/>
      <c r="V84" s="904">
        <v>-1</v>
      </c>
      <c r="W84" s="904"/>
      <c r="X84" s="904">
        <v>1</v>
      </c>
      <c r="Y84" s="904"/>
      <c r="Z84" s="904"/>
      <c r="AA84" s="904"/>
      <c r="AB84" s="904"/>
      <c r="AC84" s="904"/>
      <c r="AD84" s="904"/>
      <c r="AE84" s="1099"/>
      <c r="AF84" s="1089"/>
      <c r="AG84" s="1439" t="s">
        <v>366</v>
      </c>
      <c r="AH84" s="1440"/>
      <c r="AI84" s="1440"/>
      <c r="AJ84" s="1441"/>
    </row>
    <row r="85" spans="1:36" ht="19.5">
      <c r="A85" s="248"/>
      <c r="B85" s="1366"/>
      <c r="C85" s="1011" t="s">
        <v>367</v>
      </c>
      <c r="D85" s="337" t="s">
        <v>1583</v>
      </c>
      <c r="E85" s="1101" t="s">
        <v>1584</v>
      </c>
      <c r="F85" s="733" t="s">
        <v>1077</v>
      </c>
      <c r="G85" s="338">
        <v>0.42</v>
      </c>
      <c r="H85" s="1133"/>
      <c r="I85" s="248"/>
      <c r="J85" s="1086" t="s">
        <v>2001</v>
      </c>
      <c r="K85" s="1087" t="s">
        <v>368</v>
      </c>
      <c r="L85" s="904"/>
      <c r="M85" s="904"/>
      <c r="N85" s="904"/>
      <c r="O85" s="1100"/>
      <c r="P85" s="904"/>
      <c r="Q85" s="904"/>
      <c r="R85" s="904"/>
      <c r="S85" s="904"/>
      <c r="T85" s="904"/>
      <c r="U85" s="904"/>
      <c r="V85" s="904"/>
      <c r="W85" s="904">
        <v>-1</v>
      </c>
      <c r="X85" s="904">
        <v>1</v>
      </c>
      <c r="Y85" s="904"/>
      <c r="Z85" s="904"/>
      <c r="AA85" s="904"/>
      <c r="AB85" s="904"/>
      <c r="AC85" s="904"/>
      <c r="AD85" s="904"/>
      <c r="AE85" s="1099"/>
      <c r="AF85" s="1089"/>
      <c r="AG85" s="1439" t="s">
        <v>369</v>
      </c>
      <c r="AH85" s="1440"/>
      <c r="AI85" s="1440"/>
      <c r="AJ85" s="1441"/>
    </row>
    <row r="86" spans="1:36" ht="19.5">
      <c r="A86" s="248"/>
      <c r="B86" s="1366"/>
      <c r="C86" s="427" t="s">
        <v>1353</v>
      </c>
      <c r="D86" s="337" t="s">
        <v>1585</v>
      </c>
      <c r="E86" s="1101" t="s">
        <v>2647</v>
      </c>
      <c r="F86" s="733" t="s">
        <v>2389</v>
      </c>
      <c r="G86" s="338">
        <v>0.4</v>
      </c>
      <c r="H86" s="1133"/>
      <c r="I86" s="248"/>
      <c r="J86" s="1086" t="s">
        <v>2004</v>
      </c>
      <c r="K86" s="1087" t="s">
        <v>370</v>
      </c>
      <c r="L86" s="904"/>
      <c r="M86" s="904"/>
      <c r="N86" s="904"/>
      <c r="O86" s="1100"/>
      <c r="P86" s="904"/>
      <c r="Q86" s="904"/>
      <c r="R86" s="904">
        <v>1</v>
      </c>
      <c r="S86" s="904">
        <v>-1</v>
      </c>
      <c r="T86" s="904"/>
      <c r="U86" s="904"/>
      <c r="V86" s="904"/>
      <c r="W86" s="904"/>
      <c r="X86" s="904"/>
      <c r="Y86" s="904"/>
      <c r="Z86" s="904"/>
      <c r="AA86" s="904"/>
      <c r="AB86" s="904"/>
      <c r="AC86" s="904"/>
      <c r="AD86" s="904"/>
      <c r="AE86" s="1099"/>
      <c r="AF86" s="1089"/>
      <c r="AG86" s="1439" t="s">
        <v>371</v>
      </c>
      <c r="AH86" s="1440"/>
      <c r="AI86" s="1440"/>
      <c r="AJ86" s="1441"/>
    </row>
    <row r="87" spans="1:36" ht="78">
      <c r="A87" s="248"/>
      <c r="B87" s="1366"/>
      <c r="C87" s="423" t="s">
        <v>1355</v>
      </c>
      <c r="D87" s="425" t="s">
        <v>1586</v>
      </c>
      <c r="E87" s="1140" t="s">
        <v>2650</v>
      </c>
      <c r="F87" s="781" t="s">
        <v>1356</v>
      </c>
      <c r="G87" s="426">
        <v>0.1</v>
      </c>
      <c r="H87" s="1133"/>
      <c r="I87" s="248"/>
      <c r="J87" s="1086" t="s">
        <v>2006</v>
      </c>
      <c r="K87" s="1087" t="s">
        <v>372</v>
      </c>
      <c r="L87" s="904"/>
      <c r="M87" s="904"/>
      <c r="N87" s="904">
        <v>-1</v>
      </c>
      <c r="O87" s="1098" t="s">
        <v>2010</v>
      </c>
      <c r="P87" s="904"/>
      <c r="Q87" s="904"/>
      <c r="R87" s="904"/>
      <c r="S87" s="904"/>
      <c r="T87" s="904"/>
      <c r="U87" s="905" t="s">
        <v>373</v>
      </c>
      <c r="V87" s="904"/>
      <c r="W87" s="904"/>
      <c r="X87" s="295" t="s">
        <v>350</v>
      </c>
      <c r="Y87" s="904"/>
      <c r="Z87" s="291" t="s">
        <v>351</v>
      </c>
      <c r="AA87" s="904"/>
      <c r="AB87" s="291" t="s">
        <v>352</v>
      </c>
      <c r="AC87" s="904"/>
      <c r="AD87" s="904"/>
      <c r="AE87" s="1099"/>
      <c r="AF87" s="1089"/>
      <c r="AG87" s="1439" t="s">
        <v>374</v>
      </c>
      <c r="AH87" s="1440"/>
      <c r="AI87" s="1440"/>
      <c r="AJ87" s="1441"/>
    </row>
    <row r="88" spans="1:36" ht="19.5">
      <c r="A88" s="248"/>
      <c r="B88" s="1366"/>
      <c r="C88" s="1011" t="s">
        <v>375</v>
      </c>
      <c r="D88" s="425" t="s">
        <v>1587</v>
      </c>
      <c r="E88" s="1140" t="s">
        <v>1588</v>
      </c>
      <c r="F88" s="781" t="s">
        <v>1356</v>
      </c>
      <c r="G88" s="426">
        <v>0.05</v>
      </c>
      <c r="H88" s="1133"/>
      <c r="I88" s="248"/>
      <c r="J88" s="1086" t="s">
        <v>2009</v>
      </c>
      <c r="K88" s="1087" t="s">
        <v>376</v>
      </c>
      <c r="L88" s="904"/>
      <c r="M88" s="904"/>
      <c r="N88" s="904"/>
      <c r="O88" s="904"/>
      <c r="P88" s="904"/>
      <c r="Q88" s="904"/>
      <c r="R88" s="904"/>
      <c r="S88" s="904"/>
      <c r="T88" s="904"/>
      <c r="U88" s="904"/>
      <c r="V88" s="904">
        <v>-1</v>
      </c>
      <c r="W88" s="904"/>
      <c r="X88" s="904">
        <v>1</v>
      </c>
      <c r="Y88" s="904"/>
      <c r="Z88" s="904"/>
      <c r="AA88" s="904"/>
      <c r="AB88" s="904"/>
      <c r="AC88" s="904"/>
      <c r="AD88" s="904"/>
      <c r="AE88" s="1099"/>
      <c r="AF88" s="1089"/>
      <c r="AG88" s="1439" t="s">
        <v>377</v>
      </c>
      <c r="AH88" s="1440"/>
      <c r="AI88" s="1440"/>
      <c r="AJ88" s="1441"/>
    </row>
    <row r="89" spans="1:36" ht="19.5">
      <c r="A89" s="248"/>
      <c r="B89" s="1366"/>
      <c r="C89" s="431" t="s">
        <v>1357</v>
      </c>
      <c r="D89" s="433" t="s">
        <v>1589</v>
      </c>
      <c r="E89" s="1141" t="s">
        <v>2653</v>
      </c>
      <c r="F89" s="793" t="s">
        <v>1077</v>
      </c>
      <c r="G89" s="434">
        <v>0.04</v>
      </c>
      <c r="H89" s="1133"/>
      <c r="I89" s="248"/>
      <c r="J89" s="1086" t="s">
        <v>2011</v>
      </c>
      <c r="K89" s="1087" t="s">
        <v>378</v>
      </c>
      <c r="L89" s="904"/>
      <c r="M89" s="904"/>
      <c r="N89" s="904"/>
      <c r="O89" s="904"/>
      <c r="P89" s="904"/>
      <c r="Q89" s="904"/>
      <c r="R89" s="904"/>
      <c r="S89" s="904"/>
      <c r="T89" s="904"/>
      <c r="U89" s="904"/>
      <c r="V89" s="904"/>
      <c r="W89" s="904">
        <v>-1</v>
      </c>
      <c r="X89" s="904">
        <v>1</v>
      </c>
      <c r="Y89" s="904"/>
      <c r="Z89" s="904"/>
      <c r="AA89" s="904"/>
      <c r="AB89" s="904"/>
      <c r="AC89" s="904"/>
      <c r="AD89" s="904"/>
      <c r="AE89" s="1099"/>
      <c r="AF89" s="1089"/>
      <c r="AG89" s="1439" t="s">
        <v>379</v>
      </c>
      <c r="AH89" s="1440"/>
      <c r="AI89" s="1440"/>
      <c r="AJ89" s="1441"/>
    </row>
    <row r="90" spans="1:36" ht="19.5">
      <c r="A90" s="248"/>
      <c r="B90" s="1366"/>
      <c r="C90" s="427" t="s">
        <v>1358</v>
      </c>
      <c r="D90" s="337" t="s">
        <v>2655</v>
      </c>
      <c r="E90" s="1101" t="s">
        <v>2656</v>
      </c>
      <c r="F90" s="733" t="s">
        <v>1077</v>
      </c>
      <c r="G90" s="338">
        <v>0.03</v>
      </c>
      <c r="H90" s="1133"/>
      <c r="I90" s="248"/>
      <c r="J90" s="1086" t="s">
        <v>2013</v>
      </c>
      <c r="K90" s="1087" t="s">
        <v>380</v>
      </c>
      <c r="L90" s="904"/>
      <c r="M90" s="904"/>
      <c r="N90" s="904"/>
      <c r="O90" s="904"/>
      <c r="P90" s="904"/>
      <c r="Q90" s="904"/>
      <c r="R90" s="904">
        <v>1</v>
      </c>
      <c r="S90" s="904">
        <v>-1</v>
      </c>
      <c r="T90" s="904"/>
      <c r="U90" s="904"/>
      <c r="V90" s="904"/>
      <c r="W90" s="904"/>
      <c r="X90" s="904"/>
      <c r="Y90" s="904"/>
      <c r="Z90" s="904"/>
      <c r="AA90" s="904"/>
      <c r="AB90" s="904"/>
      <c r="AC90" s="904"/>
      <c r="AD90" s="904"/>
      <c r="AE90" s="1099"/>
      <c r="AF90" s="1089"/>
      <c r="AG90" s="1439" t="s">
        <v>381</v>
      </c>
      <c r="AH90" s="1440"/>
      <c r="AI90" s="1440"/>
      <c r="AJ90" s="1441"/>
    </row>
    <row r="91" spans="1:36" ht="27">
      <c r="A91" s="248"/>
      <c r="B91" s="1366"/>
      <c r="C91" s="427" t="s">
        <v>1331</v>
      </c>
      <c r="D91" s="337" t="s">
        <v>1590</v>
      </c>
      <c r="E91" s="1101" t="s">
        <v>2661</v>
      </c>
      <c r="F91" s="733" t="s">
        <v>1333</v>
      </c>
      <c r="G91" s="338">
        <v>2.5</v>
      </c>
      <c r="H91" s="1133"/>
      <c r="I91" s="248"/>
      <c r="J91" s="1086" t="s">
        <v>2014</v>
      </c>
      <c r="K91" s="1087" t="s">
        <v>382</v>
      </c>
      <c r="L91" s="904"/>
      <c r="M91" s="904"/>
      <c r="N91" s="904"/>
      <c r="O91" s="904"/>
      <c r="P91" s="904"/>
      <c r="Q91" s="904"/>
      <c r="R91" s="904"/>
      <c r="S91" s="904"/>
      <c r="T91" s="904"/>
      <c r="U91" s="904"/>
      <c r="V91" s="904">
        <v>-1</v>
      </c>
      <c r="W91" s="904"/>
      <c r="X91" s="904">
        <v>1</v>
      </c>
      <c r="Y91" s="904"/>
      <c r="Z91" s="904"/>
      <c r="AA91" s="904"/>
      <c r="AB91" s="904"/>
      <c r="AC91" s="904"/>
      <c r="AD91" s="904"/>
      <c r="AE91" s="1099"/>
      <c r="AF91" s="1089"/>
      <c r="AG91" s="1439" t="s">
        <v>383</v>
      </c>
      <c r="AH91" s="1440"/>
      <c r="AI91" s="1440"/>
      <c r="AJ91" s="1441"/>
    </row>
    <row r="92" spans="1:36" ht="54.75" thickBot="1">
      <c r="A92" s="248"/>
      <c r="B92" s="1366"/>
      <c r="C92" s="423" t="s">
        <v>1364</v>
      </c>
      <c r="D92" s="425" t="s">
        <v>1591</v>
      </c>
      <c r="E92" s="1140" t="s">
        <v>2669</v>
      </c>
      <c r="F92" s="733" t="s">
        <v>1340</v>
      </c>
      <c r="G92" s="426">
        <v>0.25</v>
      </c>
      <c r="H92" s="1133"/>
      <c r="I92" s="248"/>
      <c r="J92" s="1104" t="s">
        <v>2018</v>
      </c>
      <c r="K92" s="1105" t="s">
        <v>384</v>
      </c>
      <c r="L92" s="1106"/>
      <c r="M92" s="1106"/>
      <c r="N92" s="1106"/>
      <c r="O92" s="1106"/>
      <c r="P92" s="1106"/>
      <c r="Q92" s="1106"/>
      <c r="R92" s="1106">
        <v>-1</v>
      </c>
      <c r="S92" s="1107" t="s">
        <v>1592</v>
      </c>
      <c r="T92" s="1106"/>
      <c r="U92" s="1106"/>
      <c r="V92" s="1108" t="s">
        <v>1265</v>
      </c>
      <c r="W92" s="1106"/>
      <c r="X92" s="1107" t="s">
        <v>2580</v>
      </c>
      <c r="Y92" s="1106"/>
      <c r="Z92" s="1106"/>
      <c r="AA92" s="1106"/>
      <c r="AB92" s="1106"/>
      <c r="AC92" s="1106"/>
      <c r="AD92" s="1106"/>
      <c r="AE92" s="1109"/>
      <c r="AF92" s="1110" t="s">
        <v>385</v>
      </c>
      <c r="AG92" s="1433" t="s">
        <v>386</v>
      </c>
      <c r="AH92" s="1434"/>
      <c r="AI92" s="1434"/>
      <c r="AJ92" s="1435"/>
    </row>
    <row r="93" spans="1:36" ht="20.25" thickBot="1">
      <c r="A93" s="248"/>
      <c r="B93" s="1366"/>
      <c r="C93" s="423" t="s">
        <v>1003</v>
      </c>
      <c r="D93" s="425" t="s">
        <v>1593</v>
      </c>
      <c r="E93" s="1140" t="s">
        <v>2178</v>
      </c>
      <c r="F93" s="733" t="s">
        <v>1004</v>
      </c>
      <c r="G93" s="426">
        <v>0.01</v>
      </c>
      <c r="H93" s="1133"/>
      <c r="I93" s="248"/>
      <c r="J93" s="9"/>
      <c r="K93" s="1436" t="s">
        <v>2328</v>
      </c>
      <c r="L93" s="1437"/>
      <c r="M93" s="1437"/>
      <c r="N93" s="1437"/>
      <c r="O93" s="1437"/>
      <c r="P93" s="1437"/>
      <c r="Q93" s="1437"/>
      <c r="R93" s="1437"/>
      <c r="S93" s="1437"/>
      <c r="T93" s="1437"/>
      <c r="U93" s="1437"/>
      <c r="V93" s="1437"/>
      <c r="W93" s="1437"/>
      <c r="X93" s="1437"/>
      <c r="Y93" s="1437"/>
      <c r="Z93" s="1437"/>
      <c r="AA93" s="1437"/>
      <c r="AB93" s="1437"/>
      <c r="AC93" s="1437"/>
      <c r="AD93" s="1437"/>
      <c r="AE93" s="1437"/>
      <c r="AF93" s="1438"/>
      <c r="AG93" s="9"/>
      <c r="AH93" s="9"/>
      <c r="AI93" s="9"/>
      <c r="AJ93" s="248"/>
    </row>
    <row r="94" spans="1:36" ht="19.5">
      <c r="A94" s="248"/>
      <c r="B94" s="1366"/>
      <c r="C94" s="455" t="s">
        <v>1086</v>
      </c>
      <c r="D94" s="152" t="s">
        <v>2410</v>
      </c>
      <c r="E94" s="1142" t="s">
        <v>2411</v>
      </c>
      <c r="F94" s="805" t="s">
        <v>1077</v>
      </c>
      <c r="G94" s="153" t="s">
        <v>1594</v>
      </c>
      <c r="H94" s="1133"/>
      <c r="I94" s="248"/>
      <c r="J94" s="9"/>
      <c r="K94" s="1115" t="s">
        <v>2332</v>
      </c>
      <c r="L94" s="940">
        <v>1</v>
      </c>
      <c r="M94" s="940">
        <v>1</v>
      </c>
      <c r="N94" s="940">
        <v>1</v>
      </c>
      <c r="O94" s="940">
        <v>1</v>
      </c>
      <c r="P94" s="940">
        <v>1</v>
      </c>
      <c r="Q94" s="940">
        <v>1</v>
      </c>
      <c r="R94" s="940">
        <v>1</v>
      </c>
      <c r="S94" s="940">
        <v>1</v>
      </c>
      <c r="T94" s="940">
        <v>1</v>
      </c>
      <c r="U94" s="940">
        <v>1</v>
      </c>
      <c r="V94" s="940"/>
      <c r="W94" s="940"/>
      <c r="X94" s="940"/>
      <c r="Y94" s="940"/>
      <c r="Z94" s="940"/>
      <c r="AA94" s="1116" t="s">
        <v>2333</v>
      </c>
      <c r="AB94" s="940"/>
      <c r="AC94" s="940"/>
      <c r="AD94" s="940">
        <v>-1</v>
      </c>
      <c r="AE94" s="1116" t="s">
        <v>2531</v>
      </c>
      <c r="AF94" s="942">
        <v>1</v>
      </c>
      <c r="AG94" s="9"/>
      <c r="AH94" s="9"/>
      <c r="AI94" s="9"/>
      <c r="AJ94" s="248"/>
    </row>
    <row r="95" spans="1:36" ht="19.5">
      <c r="A95" s="248"/>
      <c r="B95" s="1366"/>
      <c r="C95" s="150" t="s">
        <v>1087</v>
      </c>
      <c r="D95" s="152" t="s">
        <v>2412</v>
      </c>
      <c r="E95" s="1143" t="s">
        <v>2413</v>
      </c>
      <c r="F95" s="814" t="s">
        <v>1077</v>
      </c>
      <c r="G95" s="153">
        <v>0.04</v>
      </c>
      <c r="H95" s="1133"/>
      <c r="I95" s="248"/>
      <c r="J95" s="9"/>
      <c r="K95" s="1117" t="s">
        <v>2338</v>
      </c>
      <c r="L95" s="345" t="s">
        <v>1595</v>
      </c>
      <c r="M95" s="345" t="s">
        <v>1596</v>
      </c>
      <c r="N95" s="345" t="s">
        <v>1597</v>
      </c>
      <c r="O95" s="345" t="s">
        <v>1598</v>
      </c>
      <c r="P95" s="944"/>
      <c r="Q95" s="944"/>
      <c r="R95" s="944"/>
      <c r="S95" s="944"/>
      <c r="T95" s="944"/>
      <c r="U95" s="944"/>
      <c r="V95" s="944"/>
      <c r="W95" s="944"/>
      <c r="X95" s="944"/>
      <c r="Y95" s="944">
        <v>1</v>
      </c>
      <c r="Z95" s="944">
        <v>1</v>
      </c>
      <c r="AA95" s="944">
        <v>1</v>
      </c>
      <c r="AB95" s="944">
        <v>1</v>
      </c>
      <c r="AC95" s="944">
        <v>1</v>
      </c>
      <c r="AD95" s="944"/>
      <c r="AE95" s="944">
        <v>1</v>
      </c>
      <c r="AF95" s="945"/>
      <c r="AG95" s="9"/>
      <c r="AH95" s="9"/>
      <c r="AI95" s="9"/>
      <c r="AJ95" s="248"/>
    </row>
    <row r="96" spans="1:36" ht="20.25" thickBot="1">
      <c r="A96" s="248"/>
      <c r="B96" s="1366"/>
      <c r="C96" s="455" t="s">
        <v>2414</v>
      </c>
      <c r="D96" s="152" t="s">
        <v>1599</v>
      </c>
      <c r="E96" s="152" t="s">
        <v>2416</v>
      </c>
      <c r="F96" s="94" t="s">
        <v>1088</v>
      </c>
      <c r="G96" s="153">
        <v>0.08</v>
      </c>
      <c r="H96" s="1133"/>
      <c r="I96" s="248"/>
      <c r="J96" s="9"/>
      <c r="K96" s="1118" t="s">
        <v>2540</v>
      </c>
      <c r="L96" s="359" t="s">
        <v>1600</v>
      </c>
      <c r="M96" s="359" t="s">
        <v>1601</v>
      </c>
      <c r="N96" s="359" t="s">
        <v>1602</v>
      </c>
      <c r="O96" s="359" t="s">
        <v>1603</v>
      </c>
      <c r="P96" s="947"/>
      <c r="Q96" s="947"/>
      <c r="R96" s="947"/>
      <c r="S96" s="947"/>
      <c r="T96" s="947"/>
      <c r="U96" s="947"/>
      <c r="V96" s="947">
        <v>1</v>
      </c>
      <c r="W96" s="947">
        <v>1</v>
      </c>
      <c r="X96" s="947">
        <v>1</v>
      </c>
      <c r="Y96" s="947"/>
      <c r="Z96" s="947"/>
      <c r="AA96" s="947"/>
      <c r="AB96" s="947"/>
      <c r="AC96" s="947"/>
      <c r="AD96" s="947"/>
      <c r="AE96" s="947"/>
      <c r="AF96" s="948"/>
      <c r="AG96" s="9"/>
      <c r="AH96" s="9"/>
      <c r="AI96" s="9"/>
      <c r="AJ96" s="248"/>
    </row>
    <row r="97" spans="1:36" ht="19.5">
      <c r="A97" s="248"/>
      <c r="B97" s="1366"/>
      <c r="C97" s="461" t="s">
        <v>1081</v>
      </c>
      <c r="D97" s="152" t="s">
        <v>1604</v>
      </c>
      <c r="E97" s="1142" t="s">
        <v>2418</v>
      </c>
      <c r="F97" s="94" t="s">
        <v>1082</v>
      </c>
      <c r="G97" s="153">
        <v>0.5</v>
      </c>
      <c r="H97" s="1133"/>
      <c r="I97" s="248"/>
      <c r="J97" s="9"/>
      <c r="K97" s="9"/>
      <c r="L97" s="9"/>
      <c r="M97" s="9"/>
      <c r="N97" s="9"/>
      <c r="O97" s="9"/>
      <c r="P97" s="9"/>
      <c r="Q97" s="9"/>
      <c r="R97" s="9"/>
      <c r="S97" s="9"/>
      <c r="T97" s="9"/>
      <c r="U97" s="9"/>
      <c r="V97" s="9"/>
      <c r="W97" s="9"/>
      <c r="X97" s="9"/>
      <c r="Y97" s="9"/>
      <c r="Z97" s="9"/>
      <c r="AA97" s="9"/>
      <c r="AB97" s="9"/>
      <c r="AC97" s="9"/>
      <c r="AD97" s="9"/>
      <c r="AE97" s="9"/>
      <c r="AF97" s="9"/>
      <c r="AG97" s="9"/>
      <c r="AH97" s="9"/>
      <c r="AI97" s="9"/>
      <c r="AJ97" s="248"/>
    </row>
    <row r="98" spans="1:36" ht="20.25" thickBot="1">
      <c r="A98" s="248"/>
      <c r="B98" s="1367"/>
      <c r="C98" s="611" t="s">
        <v>1091</v>
      </c>
      <c r="D98" s="169" t="s">
        <v>2419</v>
      </c>
      <c r="E98" s="169" t="s">
        <v>2420</v>
      </c>
      <c r="F98" s="171" t="s">
        <v>1092</v>
      </c>
      <c r="G98" s="170">
        <v>1</v>
      </c>
      <c r="H98" s="1133"/>
      <c r="I98" s="248"/>
      <c r="J98" s="9"/>
      <c r="K98" s="9"/>
      <c r="L98" s="9"/>
      <c r="M98" s="9"/>
      <c r="N98" s="9"/>
      <c r="O98" s="9"/>
      <c r="P98" s="9"/>
      <c r="Q98" s="9"/>
      <c r="R98" s="9"/>
      <c r="S98" s="9"/>
      <c r="T98" s="9"/>
      <c r="U98" s="9"/>
      <c r="V98" s="9"/>
      <c r="W98" s="9"/>
      <c r="X98" s="9"/>
      <c r="Y98" s="9"/>
      <c r="Z98" s="9"/>
      <c r="AA98" s="9"/>
      <c r="AB98" s="9"/>
      <c r="AC98" s="9"/>
      <c r="AD98" s="9"/>
      <c r="AE98" s="9"/>
      <c r="AF98" s="9"/>
      <c r="AG98" s="9"/>
      <c r="AH98" s="9"/>
      <c r="AI98" s="9"/>
      <c r="AJ98" s="248"/>
    </row>
    <row r="99" spans="1:36" ht="30.75" thickBot="1">
      <c r="A99" s="248"/>
      <c r="B99" s="248"/>
      <c r="C99" s="1144"/>
      <c r="D99" s="248"/>
      <c r="E99" s="248"/>
      <c r="F99" s="248"/>
      <c r="G99" s="248"/>
      <c r="H99" s="1133"/>
      <c r="I99" s="248"/>
      <c r="J99" s="1331" t="s">
        <v>2406</v>
      </c>
      <c r="K99" s="1332"/>
      <c r="L99" s="1332"/>
      <c r="M99" s="1332"/>
      <c r="N99" s="1332"/>
      <c r="O99" s="1332"/>
      <c r="P99" s="1332"/>
      <c r="Q99" s="1332"/>
      <c r="R99" s="1332"/>
      <c r="S99" s="1332"/>
      <c r="T99" s="1332"/>
      <c r="U99" s="1332"/>
      <c r="V99" s="1332"/>
      <c r="W99" s="1332"/>
      <c r="X99" s="1332"/>
      <c r="Y99" s="1332"/>
      <c r="Z99" s="1332"/>
      <c r="AA99" s="1332"/>
      <c r="AB99" s="1332"/>
      <c r="AC99" s="1332"/>
      <c r="AD99" s="1332"/>
      <c r="AE99" s="1332"/>
      <c r="AF99" s="1332"/>
      <c r="AG99" s="1332"/>
      <c r="AH99" s="1332"/>
      <c r="AI99" s="1332"/>
      <c r="AJ99" s="1333"/>
    </row>
    <row r="100" spans="1:36" ht="15">
      <c r="A100" s="248"/>
      <c r="B100" s="248"/>
      <c r="C100" s="248"/>
      <c r="D100" s="248"/>
      <c r="E100" s="248"/>
      <c r="F100" s="248"/>
      <c r="G100" s="248"/>
      <c r="H100" s="1133"/>
      <c r="I100" s="365"/>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248"/>
    </row>
    <row r="101" spans="1:36" ht="18.75" thickBot="1">
      <c r="A101" s="248"/>
      <c r="B101" s="248"/>
      <c r="C101" s="248"/>
      <c r="D101" s="248"/>
      <c r="E101" s="248"/>
      <c r="F101" s="248"/>
      <c r="G101" s="248"/>
      <c r="H101" s="1133"/>
      <c r="I101" s="365"/>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348" t="s">
        <v>2328</v>
      </c>
      <c r="AH101" s="1348"/>
      <c r="AI101" s="1348"/>
      <c r="AJ101" s="1348"/>
    </row>
    <row r="102" spans="1:36" ht="15.75" thickBot="1">
      <c r="A102" s="248"/>
      <c r="B102" s="248"/>
      <c r="C102" s="248"/>
      <c r="D102" s="248"/>
      <c r="E102" s="248"/>
      <c r="F102" s="248"/>
      <c r="G102" s="248"/>
      <c r="H102" s="1133"/>
      <c r="I102" s="365"/>
      <c r="J102" s="1145"/>
      <c r="K102" s="1145"/>
      <c r="L102" s="1145"/>
      <c r="M102" s="1145"/>
      <c r="N102" s="1145"/>
      <c r="O102" s="1145"/>
      <c r="P102" s="1145"/>
      <c r="Q102" s="1145"/>
      <c r="R102" s="1145"/>
      <c r="S102" s="1145"/>
      <c r="T102" s="1145"/>
      <c r="U102" s="1145"/>
      <c r="V102" s="1145"/>
      <c r="W102" s="1145"/>
      <c r="X102" s="1145"/>
      <c r="Y102" s="1145"/>
      <c r="Z102" s="1145"/>
      <c r="AA102" s="1145"/>
      <c r="AB102" s="1145"/>
      <c r="AC102" s="1145"/>
      <c r="AD102" s="1145"/>
      <c r="AE102" s="1145"/>
      <c r="AF102" s="1145"/>
      <c r="AG102" s="178"/>
      <c r="AH102" s="1146" t="s">
        <v>2332</v>
      </c>
      <c r="AI102" s="1147" t="s">
        <v>2338</v>
      </c>
      <c r="AJ102" s="1148" t="s">
        <v>2540</v>
      </c>
    </row>
    <row r="103" spans="1:36" ht="15">
      <c r="A103" s="248"/>
      <c r="B103" s="248"/>
      <c r="C103" s="248"/>
      <c r="D103" s="248"/>
      <c r="E103" s="248"/>
      <c r="F103" s="248"/>
      <c r="G103" s="248"/>
      <c r="H103" s="1133"/>
      <c r="I103" s="365"/>
      <c r="J103" s="1145"/>
      <c r="K103" s="1145"/>
      <c r="L103" s="1145"/>
      <c r="M103" s="1145"/>
      <c r="N103" s="1145"/>
      <c r="O103" s="1145"/>
      <c r="P103" s="1145"/>
      <c r="Q103" s="1145"/>
      <c r="R103" s="1145"/>
      <c r="S103" s="1145"/>
      <c r="T103" s="1145"/>
      <c r="U103" s="1145"/>
      <c r="V103" s="1145"/>
      <c r="W103" s="1145"/>
      <c r="X103" s="1145"/>
      <c r="Y103" s="1145"/>
      <c r="Z103" s="1145"/>
      <c r="AA103" s="1145"/>
      <c r="AB103" s="1145"/>
      <c r="AC103" s="1145"/>
      <c r="AD103" s="1145"/>
      <c r="AE103" s="1145"/>
      <c r="AF103" s="1145"/>
      <c r="AG103" s="1149" t="s">
        <v>387</v>
      </c>
      <c r="AH103" s="1150">
        <v>1</v>
      </c>
      <c r="AI103" s="1151">
        <f>NG_f_N.ZH</f>
        <v>0.07</v>
      </c>
      <c r="AJ103" s="1152">
        <f>NG_f_P.ZH</f>
        <v>0.021</v>
      </c>
    </row>
    <row r="104" spans="1:36" ht="14.25">
      <c r="A104" s="248"/>
      <c r="B104" s="248"/>
      <c r="C104" s="248"/>
      <c r="D104" s="248"/>
      <c r="E104" s="248"/>
      <c r="F104" s="248"/>
      <c r="G104" s="248"/>
      <c r="H104" s="1133"/>
      <c r="I104" s="251"/>
      <c r="J104" s="1145"/>
      <c r="K104" s="1145"/>
      <c r="L104" s="1145"/>
      <c r="M104" s="1145"/>
      <c r="N104" s="1145"/>
      <c r="O104" s="1145"/>
      <c r="P104" s="1145"/>
      <c r="Q104" s="1145"/>
      <c r="R104" s="1145"/>
      <c r="S104" s="1145"/>
      <c r="T104" s="1145"/>
      <c r="U104" s="1145"/>
      <c r="V104" s="1145"/>
      <c r="W104" s="1145"/>
      <c r="X104" s="1145"/>
      <c r="Y104" s="1145"/>
      <c r="Z104" s="1145"/>
      <c r="AA104" s="1145"/>
      <c r="AB104" s="1145"/>
      <c r="AC104" s="1145"/>
      <c r="AD104" s="1145"/>
      <c r="AE104" s="1145"/>
      <c r="AF104" s="1145"/>
      <c r="AG104" s="173" t="s">
        <v>388</v>
      </c>
      <c r="AH104" s="1153">
        <v>1</v>
      </c>
      <c r="AI104" s="164">
        <f>NG_f_N.ZA</f>
        <v>0.07</v>
      </c>
      <c r="AJ104" s="1154">
        <f>NG_f_P.ZA</f>
        <v>0.021</v>
      </c>
    </row>
    <row r="105" spans="1:36" ht="14.25">
      <c r="A105" s="248"/>
      <c r="B105" s="248"/>
      <c r="C105" s="248"/>
      <c r="D105" s="248"/>
      <c r="E105" s="248"/>
      <c r="F105" s="248"/>
      <c r="G105" s="248"/>
      <c r="H105" s="1133"/>
      <c r="I105" s="248"/>
      <c r="J105" s="1145"/>
      <c r="K105" s="1145"/>
      <c r="L105" s="1145"/>
      <c r="M105" s="1145"/>
      <c r="N105" s="1145"/>
      <c r="O105" s="1145"/>
      <c r="P105" s="1145"/>
      <c r="Q105" s="1145"/>
      <c r="R105" s="1145"/>
      <c r="S105" s="1145"/>
      <c r="T105" s="1145"/>
      <c r="U105" s="1145"/>
      <c r="V105" s="1145"/>
      <c r="W105" s="1145"/>
      <c r="X105" s="1145"/>
      <c r="Y105" s="1145"/>
      <c r="Z105" s="1145"/>
      <c r="AA105" s="1145"/>
      <c r="AB105" s="1145"/>
      <c r="AC105" s="1145"/>
      <c r="AD105" s="1145"/>
      <c r="AE105" s="1145"/>
      <c r="AF105" s="1145"/>
      <c r="AG105" s="173" t="s">
        <v>389</v>
      </c>
      <c r="AH105" s="1153">
        <v>1</v>
      </c>
      <c r="AI105" s="164">
        <f>NG_f_N.ZP</f>
        <v>0.07</v>
      </c>
      <c r="AJ105" s="1154">
        <f>NG_f_P.ZP</f>
        <v>0.021</v>
      </c>
    </row>
    <row r="106" spans="1:36" ht="14.25">
      <c r="A106" s="248"/>
      <c r="B106" s="248"/>
      <c r="C106" s="248"/>
      <c r="D106" s="248"/>
      <c r="E106" s="248"/>
      <c r="F106" s="248"/>
      <c r="G106" s="248"/>
      <c r="H106" s="251"/>
      <c r="I106" s="248"/>
      <c r="J106" s="1145"/>
      <c r="K106" s="1145"/>
      <c r="L106" s="1145"/>
      <c r="M106" s="1145"/>
      <c r="N106" s="1145"/>
      <c r="O106" s="1145"/>
      <c r="P106" s="1145"/>
      <c r="Q106" s="1145"/>
      <c r="R106" s="1145"/>
      <c r="S106" s="1145"/>
      <c r="T106" s="1145"/>
      <c r="U106" s="1145"/>
      <c r="V106" s="1145"/>
      <c r="W106" s="1145"/>
      <c r="X106" s="1145"/>
      <c r="Y106" s="1145"/>
      <c r="Z106" s="1145"/>
      <c r="AA106" s="1145"/>
      <c r="AB106" s="1145"/>
      <c r="AC106" s="1145"/>
      <c r="AD106" s="1145"/>
      <c r="AE106" s="1145"/>
      <c r="AF106" s="1145"/>
      <c r="AG106" s="173" t="s">
        <v>390</v>
      </c>
      <c r="AH106" s="1153">
        <v>1</v>
      </c>
      <c r="AI106" s="164">
        <f>NG_f_N.ZEH</f>
        <v>0.07</v>
      </c>
      <c r="AJ106" s="1154">
        <f>NG_f_P.ZEH</f>
        <v>0.021</v>
      </c>
    </row>
    <row r="107" spans="1:36" ht="14.25">
      <c r="A107" s="248"/>
      <c r="B107" s="248"/>
      <c r="C107" s="248"/>
      <c r="D107" s="248"/>
      <c r="E107" s="248"/>
      <c r="F107" s="248"/>
      <c r="G107" s="248"/>
      <c r="H107" s="248"/>
      <c r="I107" s="248"/>
      <c r="J107" s="1145"/>
      <c r="K107" s="1145"/>
      <c r="L107" s="1145"/>
      <c r="M107" s="1145"/>
      <c r="N107" s="1145"/>
      <c r="O107" s="1145"/>
      <c r="P107" s="1145"/>
      <c r="Q107" s="1145"/>
      <c r="R107" s="1145"/>
      <c r="S107" s="1145"/>
      <c r="T107" s="1145"/>
      <c r="U107" s="1145"/>
      <c r="V107" s="1145"/>
      <c r="W107" s="1145"/>
      <c r="X107" s="1145"/>
      <c r="Y107" s="1145"/>
      <c r="Z107" s="1145"/>
      <c r="AA107" s="1145"/>
      <c r="AB107" s="1145"/>
      <c r="AC107" s="1145"/>
      <c r="AD107" s="1145"/>
      <c r="AE107" s="1145"/>
      <c r="AF107" s="1145"/>
      <c r="AG107" s="173" t="s">
        <v>391</v>
      </c>
      <c r="AH107" s="1153">
        <v>1</v>
      </c>
      <c r="AI107" s="164"/>
      <c r="AJ107" s="1154"/>
    </row>
    <row r="108" spans="1:36" ht="14.25">
      <c r="A108" s="248"/>
      <c r="B108" s="248"/>
      <c r="C108" s="248"/>
      <c r="D108" s="248"/>
      <c r="E108" s="248"/>
      <c r="F108" s="248"/>
      <c r="G108" s="248"/>
      <c r="H108" s="248"/>
      <c r="I108" s="248"/>
      <c r="J108" s="1145"/>
      <c r="K108" s="1145"/>
      <c r="L108" s="1145"/>
      <c r="M108" s="1145"/>
      <c r="N108" s="1145"/>
      <c r="O108" s="1145"/>
      <c r="P108" s="1145"/>
      <c r="Q108" s="1145"/>
      <c r="R108" s="1145"/>
      <c r="S108" s="1145"/>
      <c r="T108" s="1145"/>
      <c r="U108" s="1145"/>
      <c r="V108" s="1145"/>
      <c r="W108" s="1145"/>
      <c r="X108" s="1145"/>
      <c r="Y108" s="1145"/>
      <c r="Z108" s="1145"/>
      <c r="AA108" s="1145"/>
      <c r="AB108" s="1145"/>
      <c r="AC108" s="1145"/>
      <c r="AD108" s="1145"/>
      <c r="AE108" s="1145"/>
      <c r="AF108" s="1145"/>
      <c r="AG108" s="173" t="s">
        <v>392</v>
      </c>
      <c r="AH108" s="1153">
        <v>1</v>
      </c>
      <c r="AI108" s="164"/>
      <c r="AJ108" s="1154"/>
    </row>
    <row r="109" spans="1:36" ht="14.25">
      <c r="A109" s="248"/>
      <c r="B109" s="248"/>
      <c r="C109" s="248"/>
      <c r="D109" s="248"/>
      <c r="E109" s="248"/>
      <c r="F109" s="248"/>
      <c r="G109" s="248"/>
      <c r="H109" s="248"/>
      <c r="I109" s="248"/>
      <c r="J109" s="1145"/>
      <c r="K109" s="1145"/>
      <c r="L109" s="1145"/>
      <c r="M109" s="1145"/>
      <c r="N109" s="1145"/>
      <c r="O109" s="1145"/>
      <c r="P109" s="1145"/>
      <c r="Q109" s="1145"/>
      <c r="R109" s="1145"/>
      <c r="S109" s="1145"/>
      <c r="T109" s="1145"/>
      <c r="U109" s="1145"/>
      <c r="V109" s="1145"/>
      <c r="W109" s="1145"/>
      <c r="X109" s="1145"/>
      <c r="Y109" s="1145"/>
      <c r="Z109" s="1145"/>
      <c r="AA109" s="1145"/>
      <c r="AB109" s="1145"/>
      <c r="AC109" s="1145"/>
      <c r="AD109" s="1145"/>
      <c r="AE109" s="1145"/>
      <c r="AF109" s="1145"/>
      <c r="AG109" s="173" t="s">
        <v>393</v>
      </c>
      <c r="AH109" s="1153">
        <v>1</v>
      </c>
      <c r="AI109" s="164"/>
      <c r="AJ109" s="1154"/>
    </row>
    <row r="110" spans="1:36" ht="14.25">
      <c r="A110" s="248"/>
      <c r="B110" s="248"/>
      <c r="C110" s="248"/>
      <c r="D110" s="248"/>
      <c r="E110" s="248"/>
      <c r="F110" s="248"/>
      <c r="G110" s="248"/>
      <c r="H110" s="248"/>
      <c r="I110" s="248"/>
      <c r="J110" s="1145"/>
      <c r="K110" s="1145"/>
      <c r="L110" s="1145"/>
      <c r="M110" s="1145"/>
      <c r="N110" s="1145"/>
      <c r="O110" s="1145"/>
      <c r="P110" s="1145"/>
      <c r="Q110" s="1145"/>
      <c r="R110" s="1145"/>
      <c r="S110" s="1145"/>
      <c r="T110" s="1145"/>
      <c r="U110" s="1145"/>
      <c r="V110" s="1145"/>
      <c r="W110" s="1145"/>
      <c r="X110" s="1145"/>
      <c r="Y110" s="1145"/>
      <c r="Z110" s="1145"/>
      <c r="AA110" s="1145"/>
      <c r="AB110" s="1145"/>
      <c r="AC110" s="1145"/>
      <c r="AD110" s="1145"/>
      <c r="AE110" s="1145"/>
      <c r="AF110" s="1145"/>
      <c r="AG110" s="173" t="s">
        <v>394</v>
      </c>
      <c r="AH110" s="1153">
        <v>1</v>
      </c>
      <c r="AI110" s="164"/>
      <c r="AJ110" s="1154"/>
    </row>
    <row r="111" spans="1:36" ht="14.25">
      <c r="A111" s="248"/>
      <c r="B111" s="248"/>
      <c r="C111" s="248"/>
      <c r="D111" s="248"/>
      <c r="E111" s="248"/>
      <c r="F111" s="248"/>
      <c r="G111" s="248"/>
      <c r="H111" s="248"/>
      <c r="I111" s="248"/>
      <c r="J111" s="1145"/>
      <c r="K111" s="1145"/>
      <c r="L111" s="1145"/>
      <c r="M111" s="1145"/>
      <c r="N111" s="1145"/>
      <c r="O111" s="1145"/>
      <c r="P111" s="1145"/>
      <c r="Q111" s="1145"/>
      <c r="R111" s="1145"/>
      <c r="S111" s="1145"/>
      <c r="T111" s="1145"/>
      <c r="U111" s="1145"/>
      <c r="V111" s="1145"/>
      <c r="W111" s="1145"/>
      <c r="X111" s="1145"/>
      <c r="Y111" s="1145"/>
      <c r="Z111" s="1145"/>
      <c r="AA111" s="1145"/>
      <c r="AB111" s="1145"/>
      <c r="AC111" s="1145"/>
      <c r="AD111" s="1145"/>
      <c r="AE111" s="1145"/>
      <c r="AF111" s="1145"/>
      <c r="AG111" s="173" t="s">
        <v>395</v>
      </c>
      <c r="AH111" s="1153">
        <v>1</v>
      </c>
      <c r="AI111" s="164"/>
      <c r="AJ111" s="1154"/>
    </row>
    <row r="112" spans="1:36" ht="14.25">
      <c r="A112" s="248"/>
      <c r="B112" s="248"/>
      <c r="C112" s="248"/>
      <c r="D112" s="248"/>
      <c r="E112" s="248"/>
      <c r="F112" s="248"/>
      <c r="G112" s="248"/>
      <c r="H112" s="248"/>
      <c r="I112" s="248"/>
      <c r="J112" s="1145"/>
      <c r="K112" s="1145"/>
      <c r="L112" s="1145"/>
      <c r="M112" s="1145"/>
      <c r="N112" s="1145"/>
      <c r="O112" s="1145"/>
      <c r="P112" s="1145"/>
      <c r="Q112" s="1145"/>
      <c r="R112" s="1145"/>
      <c r="S112" s="1145"/>
      <c r="T112" s="1145"/>
      <c r="U112" s="1145"/>
      <c r="V112" s="1145"/>
      <c r="W112" s="1145"/>
      <c r="X112" s="1145"/>
      <c r="Y112" s="1145"/>
      <c r="Z112" s="1145"/>
      <c r="AA112" s="1145"/>
      <c r="AB112" s="1145"/>
      <c r="AC112" s="1145"/>
      <c r="AD112" s="1145"/>
      <c r="AE112" s="1145"/>
      <c r="AF112" s="1145"/>
      <c r="AG112" s="173" t="s">
        <v>396</v>
      </c>
      <c r="AH112" s="1153">
        <v>1</v>
      </c>
      <c r="AI112" s="164"/>
      <c r="AJ112" s="1154"/>
    </row>
    <row r="113" spans="1:36" ht="14.25">
      <c r="A113" s="248"/>
      <c r="B113" s="248"/>
      <c r="C113" s="248"/>
      <c r="D113" s="248"/>
      <c r="E113" s="248"/>
      <c r="F113" s="248"/>
      <c r="G113" s="248"/>
      <c r="H113" s="248"/>
      <c r="I113" s="248"/>
      <c r="J113" s="1145"/>
      <c r="K113" s="1145"/>
      <c r="L113" s="1145"/>
      <c r="M113" s="1145"/>
      <c r="N113" s="1145"/>
      <c r="O113" s="1145"/>
      <c r="P113" s="1145"/>
      <c r="Q113" s="1145"/>
      <c r="R113" s="1145"/>
      <c r="S113" s="1145"/>
      <c r="T113" s="1145"/>
      <c r="U113" s="1145"/>
      <c r="V113" s="1145"/>
      <c r="W113" s="1145"/>
      <c r="X113" s="1145"/>
      <c r="Y113" s="1145"/>
      <c r="Z113" s="1145"/>
      <c r="AA113" s="1145"/>
      <c r="AB113" s="1145"/>
      <c r="AC113" s="1145"/>
      <c r="AD113" s="1145"/>
      <c r="AE113" s="1145"/>
      <c r="AF113" s="1145"/>
      <c r="AG113" s="173" t="s">
        <v>397</v>
      </c>
      <c r="AH113" s="1153"/>
      <c r="AI113" s="164"/>
      <c r="AJ113" s="1154">
        <v>1</v>
      </c>
    </row>
    <row r="114" spans="1:36" ht="14.25">
      <c r="A114" s="248"/>
      <c r="B114" s="248"/>
      <c r="C114" s="248"/>
      <c r="D114" s="248"/>
      <c r="E114" s="248"/>
      <c r="F114" s="248"/>
      <c r="G114" s="248"/>
      <c r="H114" s="248"/>
      <c r="I114" s="248"/>
      <c r="J114" s="1145"/>
      <c r="K114" s="1145"/>
      <c r="L114" s="1145"/>
      <c r="M114" s="1145"/>
      <c r="N114" s="1145"/>
      <c r="O114" s="1145"/>
      <c r="P114" s="1145"/>
      <c r="Q114" s="1145"/>
      <c r="R114" s="1145"/>
      <c r="S114" s="1145"/>
      <c r="T114" s="1145"/>
      <c r="U114" s="1145"/>
      <c r="V114" s="1145"/>
      <c r="W114" s="1145"/>
      <c r="X114" s="1145"/>
      <c r="Y114" s="1145"/>
      <c r="Z114" s="1145"/>
      <c r="AA114" s="1145"/>
      <c r="AB114" s="1145"/>
      <c r="AC114" s="1145"/>
      <c r="AD114" s="1145"/>
      <c r="AE114" s="1145"/>
      <c r="AF114" s="1145"/>
      <c r="AG114" s="173" t="s">
        <v>398</v>
      </c>
      <c r="AH114" s="1153"/>
      <c r="AI114" s="164"/>
      <c r="AJ114" s="1154">
        <v>1</v>
      </c>
    </row>
    <row r="115" spans="1:36" ht="14.25">
      <c r="A115" s="248"/>
      <c r="B115" s="248"/>
      <c r="C115" s="248"/>
      <c r="D115" s="248"/>
      <c r="E115" s="248"/>
      <c r="F115" s="248"/>
      <c r="G115" s="248"/>
      <c r="H115" s="248"/>
      <c r="I115" s="248"/>
      <c r="J115" s="1145"/>
      <c r="K115" s="1145"/>
      <c r="L115" s="1145"/>
      <c r="M115" s="1145"/>
      <c r="N115" s="1145"/>
      <c r="O115" s="1145"/>
      <c r="P115" s="1145"/>
      <c r="Q115" s="1145"/>
      <c r="R115" s="1145"/>
      <c r="S115" s="1145"/>
      <c r="T115" s="1145"/>
      <c r="U115" s="1145"/>
      <c r="V115" s="1145"/>
      <c r="W115" s="1145"/>
      <c r="X115" s="1145"/>
      <c r="Y115" s="1145"/>
      <c r="Z115" s="1145"/>
      <c r="AA115" s="1145"/>
      <c r="AB115" s="1145"/>
      <c r="AC115" s="1145"/>
      <c r="AD115" s="1145"/>
      <c r="AE115" s="1145"/>
      <c r="AF115" s="1145"/>
      <c r="AG115" s="173" t="s">
        <v>399</v>
      </c>
      <c r="AH115" s="1153"/>
      <c r="AI115" s="164"/>
      <c r="AJ115" s="1154">
        <v>1</v>
      </c>
    </row>
    <row r="116" spans="1:36" ht="14.25">
      <c r="A116" s="248"/>
      <c r="B116" s="248"/>
      <c r="C116" s="248"/>
      <c r="D116" s="248"/>
      <c r="E116" s="248"/>
      <c r="F116" s="248"/>
      <c r="G116" s="248"/>
      <c r="H116" s="248"/>
      <c r="I116" s="248"/>
      <c r="J116" s="1145"/>
      <c r="K116" s="1145"/>
      <c r="L116" s="1145"/>
      <c r="M116" s="1145"/>
      <c r="N116" s="1145"/>
      <c r="O116" s="1145"/>
      <c r="P116" s="1145"/>
      <c r="Q116" s="1145"/>
      <c r="R116" s="1145"/>
      <c r="S116" s="1145"/>
      <c r="T116" s="1145"/>
      <c r="U116" s="1145"/>
      <c r="V116" s="1145"/>
      <c r="W116" s="1145"/>
      <c r="X116" s="1145"/>
      <c r="Y116" s="1145"/>
      <c r="Z116" s="1145"/>
      <c r="AA116" s="1145"/>
      <c r="AB116" s="1145"/>
      <c r="AC116" s="1145"/>
      <c r="AD116" s="1145"/>
      <c r="AE116" s="1145"/>
      <c r="AF116" s="1145"/>
      <c r="AG116" s="173" t="s">
        <v>400</v>
      </c>
      <c r="AH116" s="1153"/>
      <c r="AI116" s="164">
        <v>1</v>
      </c>
      <c r="AJ116" s="1154"/>
    </row>
    <row r="117" spans="1:36" ht="14.25">
      <c r="A117" s="248"/>
      <c r="B117" s="248"/>
      <c r="C117" s="248"/>
      <c r="D117" s="248"/>
      <c r="E117" s="248"/>
      <c r="F117" s="248"/>
      <c r="G117" s="248"/>
      <c r="H117" s="248"/>
      <c r="I117" s="248"/>
      <c r="J117" s="1145"/>
      <c r="K117" s="1145"/>
      <c r="L117" s="1145"/>
      <c r="M117" s="1145"/>
      <c r="N117" s="1145"/>
      <c r="O117" s="1145"/>
      <c r="P117" s="1145"/>
      <c r="Q117" s="1145"/>
      <c r="R117" s="1145"/>
      <c r="S117" s="1145"/>
      <c r="T117" s="1145"/>
      <c r="U117" s="1145"/>
      <c r="V117" s="1145"/>
      <c r="W117" s="1145"/>
      <c r="X117" s="1145"/>
      <c r="Y117" s="1145"/>
      <c r="Z117" s="1145"/>
      <c r="AA117" s="1145"/>
      <c r="AB117" s="1145"/>
      <c r="AC117" s="1145"/>
      <c r="AD117" s="1145"/>
      <c r="AE117" s="1145"/>
      <c r="AF117" s="1145"/>
      <c r="AG117" s="173" t="s">
        <v>401</v>
      </c>
      <c r="AH117" s="1153"/>
      <c r="AI117" s="164">
        <v>1</v>
      </c>
      <c r="AJ117" s="1154"/>
    </row>
    <row r="118" spans="1:36" ht="14.25">
      <c r="A118" s="248"/>
      <c r="B118" s="248"/>
      <c r="C118" s="248"/>
      <c r="D118" s="248"/>
      <c r="E118" s="248"/>
      <c r="F118" s="248"/>
      <c r="G118" s="248"/>
      <c r="H118" s="248"/>
      <c r="I118" s="248"/>
      <c r="J118" s="1145"/>
      <c r="K118" s="1145"/>
      <c r="L118" s="1145"/>
      <c r="M118" s="1145"/>
      <c r="N118" s="1145"/>
      <c r="O118" s="1145"/>
      <c r="P118" s="1145"/>
      <c r="Q118" s="1145"/>
      <c r="R118" s="1145"/>
      <c r="S118" s="1145"/>
      <c r="T118" s="1145"/>
      <c r="U118" s="1145"/>
      <c r="V118" s="1145"/>
      <c r="W118" s="1145"/>
      <c r="X118" s="1145"/>
      <c r="Y118" s="1145"/>
      <c r="Z118" s="1145"/>
      <c r="AA118" s="1145"/>
      <c r="AB118" s="1145"/>
      <c r="AC118" s="1145"/>
      <c r="AD118" s="1145"/>
      <c r="AE118" s="1145"/>
      <c r="AF118" s="1145"/>
      <c r="AG118" s="173" t="s">
        <v>402</v>
      </c>
      <c r="AH118" s="1155">
        <f>NG_i_COD_NOx</f>
        <v>-4.571428571428571</v>
      </c>
      <c r="AI118" s="164">
        <v>1</v>
      </c>
      <c r="AJ118" s="1154"/>
    </row>
    <row r="119" spans="1:36" ht="14.25">
      <c r="A119" s="248"/>
      <c r="B119" s="248"/>
      <c r="C119" s="248"/>
      <c r="D119" s="248"/>
      <c r="E119" s="248"/>
      <c r="F119" s="248"/>
      <c r="G119" s="248"/>
      <c r="H119" s="248"/>
      <c r="I119" s="248"/>
      <c r="J119" s="1145"/>
      <c r="K119" s="1145"/>
      <c r="L119" s="1145"/>
      <c r="M119" s="1145"/>
      <c r="N119" s="1145"/>
      <c r="O119" s="1145"/>
      <c r="P119" s="1145"/>
      <c r="Q119" s="1145"/>
      <c r="R119" s="1145"/>
      <c r="S119" s="1145"/>
      <c r="T119" s="1145"/>
      <c r="U119" s="1145"/>
      <c r="V119" s="1145"/>
      <c r="W119" s="1145"/>
      <c r="X119" s="1145"/>
      <c r="Y119" s="1145"/>
      <c r="Z119" s="1145"/>
      <c r="AA119" s="1145"/>
      <c r="AB119" s="1145"/>
      <c r="AC119" s="1145"/>
      <c r="AD119" s="1145"/>
      <c r="AE119" s="1145"/>
      <c r="AF119" s="1145"/>
      <c r="AG119" s="173" t="s">
        <v>403</v>
      </c>
      <c r="AH119" s="1153"/>
      <c r="AI119" s="164">
        <v>1</v>
      </c>
      <c r="AJ119" s="1154"/>
    </row>
    <row r="120" spans="1:36" ht="14.25">
      <c r="A120" s="248"/>
      <c r="B120" s="248"/>
      <c r="C120" s="248"/>
      <c r="D120" s="248"/>
      <c r="E120" s="248"/>
      <c r="F120" s="248"/>
      <c r="G120" s="248"/>
      <c r="H120" s="248"/>
      <c r="I120" s="248"/>
      <c r="J120" s="1145"/>
      <c r="K120" s="1145"/>
      <c r="L120" s="1145"/>
      <c r="M120" s="1145"/>
      <c r="N120" s="1145"/>
      <c r="O120" s="1145"/>
      <c r="P120" s="1145"/>
      <c r="Q120" s="1145"/>
      <c r="R120" s="1145"/>
      <c r="S120" s="1145"/>
      <c r="T120" s="1145"/>
      <c r="U120" s="1145"/>
      <c r="V120" s="1145"/>
      <c r="W120" s="1145"/>
      <c r="X120" s="1145"/>
      <c r="Y120" s="1145"/>
      <c r="Z120" s="1145"/>
      <c r="AA120" s="1145"/>
      <c r="AB120" s="1145"/>
      <c r="AC120" s="1145"/>
      <c r="AD120" s="1145"/>
      <c r="AE120" s="1145"/>
      <c r="AF120" s="1145"/>
      <c r="AG120" s="173" t="s">
        <v>404</v>
      </c>
      <c r="AH120" s="1153"/>
      <c r="AI120" s="164">
        <v>1</v>
      </c>
      <c r="AJ120" s="1154"/>
    </row>
    <row r="121" spans="1:36" ht="14.25">
      <c r="A121" s="248"/>
      <c r="B121" s="248"/>
      <c r="C121" s="248"/>
      <c r="D121" s="248"/>
      <c r="E121" s="248"/>
      <c r="F121" s="248"/>
      <c r="G121" s="248"/>
      <c r="H121" s="248"/>
      <c r="I121" s="248"/>
      <c r="J121" s="1145"/>
      <c r="K121" s="1145"/>
      <c r="L121" s="1145"/>
      <c r="M121" s="1145"/>
      <c r="N121" s="1145"/>
      <c r="O121" s="1145"/>
      <c r="P121" s="1145"/>
      <c r="Q121" s="1145"/>
      <c r="R121" s="1145"/>
      <c r="S121" s="1145"/>
      <c r="T121" s="1145"/>
      <c r="U121" s="1145"/>
      <c r="V121" s="1145"/>
      <c r="W121" s="1145"/>
      <c r="X121" s="1145"/>
      <c r="Y121" s="1145"/>
      <c r="Z121" s="1145"/>
      <c r="AA121" s="1145"/>
      <c r="AB121" s="1145"/>
      <c r="AC121" s="1145"/>
      <c r="AD121" s="1145"/>
      <c r="AE121" s="1145"/>
      <c r="AF121" s="1145"/>
      <c r="AG121" s="173" t="s">
        <v>405</v>
      </c>
      <c r="AH121" s="1153">
        <v>-1</v>
      </c>
      <c r="AI121" s="164"/>
      <c r="AJ121" s="1154"/>
    </row>
    <row r="122" spans="1:36" ht="14.25">
      <c r="A122" s="248"/>
      <c r="B122" s="248"/>
      <c r="C122" s="248"/>
      <c r="D122" s="248"/>
      <c r="E122" s="248"/>
      <c r="F122" s="248"/>
      <c r="G122" s="248"/>
      <c r="H122" s="248"/>
      <c r="I122" s="248"/>
      <c r="J122" s="1145"/>
      <c r="K122" s="1145"/>
      <c r="L122" s="1145"/>
      <c r="M122" s="1145"/>
      <c r="N122" s="1145"/>
      <c r="O122" s="1145"/>
      <c r="P122" s="1145"/>
      <c r="Q122" s="1145"/>
      <c r="R122" s="1145"/>
      <c r="S122" s="1145"/>
      <c r="T122" s="1145"/>
      <c r="U122" s="1145"/>
      <c r="V122" s="1145"/>
      <c r="W122" s="1145"/>
      <c r="X122" s="1145"/>
      <c r="Y122" s="1145"/>
      <c r="Z122" s="1145"/>
      <c r="AA122" s="1145"/>
      <c r="AB122" s="1145"/>
      <c r="AC122" s="1145"/>
      <c r="AD122" s="1145"/>
      <c r="AE122" s="1145"/>
      <c r="AF122" s="1145"/>
      <c r="AG122" s="173" t="s">
        <v>406</v>
      </c>
      <c r="AH122" s="1155">
        <f>NG_i_COD_N2</f>
        <v>-1.7142857142857142</v>
      </c>
      <c r="AI122" s="164">
        <v>1</v>
      </c>
      <c r="AJ122" s="1154"/>
    </row>
    <row r="123" spans="1:36" ht="15" thickBot="1">
      <c r="A123" s="248"/>
      <c r="B123" s="248"/>
      <c r="C123" s="248"/>
      <c r="D123" s="248"/>
      <c r="E123" s="248"/>
      <c r="F123" s="248"/>
      <c r="G123" s="248"/>
      <c r="H123" s="248"/>
      <c r="I123" s="248"/>
      <c r="J123" s="1145"/>
      <c r="K123" s="1145"/>
      <c r="L123" s="1145"/>
      <c r="M123" s="1145"/>
      <c r="N123" s="1145"/>
      <c r="O123" s="1145"/>
      <c r="P123" s="1145"/>
      <c r="Q123" s="1145"/>
      <c r="R123" s="1145"/>
      <c r="S123" s="1145"/>
      <c r="T123" s="1145"/>
      <c r="U123" s="1145"/>
      <c r="V123" s="1145"/>
      <c r="W123" s="1145"/>
      <c r="X123" s="1145"/>
      <c r="Y123" s="1145"/>
      <c r="Z123" s="1145"/>
      <c r="AA123" s="1145"/>
      <c r="AB123" s="1145"/>
      <c r="AC123" s="1145"/>
      <c r="AD123" s="1145"/>
      <c r="AE123" s="1145"/>
      <c r="AF123" s="1145"/>
      <c r="AG123" s="1156" t="s">
        <v>407</v>
      </c>
      <c r="AH123" s="1157">
        <f>NG_i_COD_H2</f>
        <v>8</v>
      </c>
      <c r="AI123" s="179"/>
      <c r="AJ123" s="1158"/>
    </row>
    <row r="124" spans="1:36" ht="29.25" thickBot="1">
      <c r="A124" s="248"/>
      <c r="B124" s="248"/>
      <c r="C124" s="248"/>
      <c r="D124" s="248"/>
      <c r="E124" s="248"/>
      <c r="F124" s="248"/>
      <c r="G124" s="248"/>
      <c r="H124" s="248"/>
      <c r="I124" s="248"/>
      <c r="J124" s="1159" t="s">
        <v>1606</v>
      </c>
      <c r="K124" s="186"/>
      <c r="L124" s="441" t="s">
        <v>387</v>
      </c>
      <c r="M124" s="441" t="s">
        <v>388</v>
      </c>
      <c r="N124" s="441" t="s">
        <v>389</v>
      </c>
      <c r="O124" s="441" t="s">
        <v>390</v>
      </c>
      <c r="P124" s="441" t="s">
        <v>391</v>
      </c>
      <c r="Q124" s="441" t="s">
        <v>392</v>
      </c>
      <c r="R124" s="441" t="s">
        <v>393</v>
      </c>
      <c r="S124" s="441" t="s">
        <v>394</v>
      </c>
      <c r="T124" s="441" t="s">
        <v>395</v>
      </c>
      <c r="U124" s="441" t="s">
        <v>396</v>
      </c>
      <c r="V124" s="441" t="s">
        <v>397</v>
      </c>
      <c r="W124" s="441" t="s">
        <v>398</v>
      </c>
      <c r="X124" s="441" t="s">
        <v>399</v>
      </c>
      <c r="Y124" s="441" t="s">
        <v>400</v>
      </c>
      <c r="Z124" s="441" t="s">
        <v>401</v>
      </c>
      <c r="AA124" s="441" t="s">
        <v>402</v>
      </c>
      <c r="AB124" s="441" t="s">
        <v>403</v>
      </c>
      <c r="AC124" s="441" t="s">
        <v>404</v>
      </c>
      <c r="AD124" s="441" t="s">
        <v>405</v>
      </c>
      <c r="AE124" s="441" t="s">
        <v>406</v>
      </c>
      <c r="AF124" s="442" t="s">
        <v>407</v>
      </c>
      <c r="AG124" s="1145"/>
      <c r="AH124" s="1145"/>
      <c r="AI124" s="1145"/>
      <c r="AJ124" s="1145"/>
    </row>
    <row r="125" spans="1:36" ht="28.5">
      <c r="A125" s="248"/>
      <c r="B125" s="248"/>
      <c r="C125" s="248"/>
      <c r="D125" s="248"/>
      <c r="E125" s="248"/>
      <c r="F125" s="248"/>
      <c r="G125" s="248"/>
      <c r="H125" s="248"/>
      <c r="I125" s="248"/>
      <c r="J125" s="191">
        <v>1</v>
      </c>
      <c r="K125" s="1160" t="s">
        <v>1014</v>
      </c>
      <c r="L125" s="1161">
        <v>1</v>
      </c>
      <c r="M125" s="1161"/>
      <c r="N125" s="1161"/>
      <c r="O125" s="1161"/>
      <c r="P125" s="1161"/>
      <c r="Q125" s="1162">
        <f>-1/NG_Y_H.aer</f>
        <v>-1.5015015015015014</v>
      </c>
      <c r="R125" s="1162"/>
      <c r="S125" s="1161"/>
      <c r="T125" s="1161"/>
      <c r="U125" s="1161"/>
      <c r="V125" s="1161"/>
      <c r="W125" s="1161"/>
      <c r="X125" s="1161">
        <f aca="true" t="shared" si="0" ref="X125:X132">-NG_f_P.ZH</f>
        <v>-0.021</v>
      </c>
      <c r="Y125" s="1161"/>
      <c r="Z125" s="1161"/>
      <c r="AA125" s="1161"/>
      <c r="AB125" s="1161">
        <f>-NG_f_N.ZH</f>
        <v>-0.07</v>
      </c>
      <c r="AC125" s="1161"/>
      <c r="AD125" s="1162">
        <f>-(1-NG_Y_H.aer)/NG_Y_H.aer</f>
        <v>-0.5015015015015014</v>
      </c>
      <c r="AE125" s="1162"/>
      <c r="AF125" s="1163"/>
      <c r="AG125" s="1145"/>
      <c r="AH125" s="1164">
        <f aca="true" t="shared" si="1" ref="AH125:AJ144">AH$103*$L125+AH$104*$M125+AH$105*$N125+AH$106*$O125+AH$107*$P125+AH$108*$Q125+AH$109*$R125+AH$110*$S125+AH$111*$T125+AH$112*$U125+AH$113*$V125+AH$114*$W125+AH$115*$X125+AH$116*$Y125+AH$117*$Z125+AH$118*$AA125+AH$119*$AB125+AH$120*$AC125+AH$121*$AD125+AH$123*$AF125+AH$122*$AE125</f>
        <v>0</v>
      </c>
      <c r="AI125" s="1165">
        <f t="shared" si="1"/>
        <v>0</v>
      </c>
      <c r="AJ125" s="1166">
        <f t="shared" si="1"/>
        <v>0</v>
      </c>
    </row>
    <row r="126" spans="1:36" ht="28.5">
      <c r="A126" s="248"/>
      <c r="B126" s="248"/>
      <c r="C126" s="248"/>
      <c r="D126" s="248"/>
      <c r="E126" s="248"/>
      <c r="F126" s="248"/>
      <c r="G126" s="248"/>
      <c r="H126" s="248"/>
      <c r="I126" s="248"/>
      <c r="J126" s="191">
        <v>2</v>
      </c>
      <c r="K126" s="1160" t="s">
        <v>128</v>
      </c>
      <c r="L126" s="1161">
        <v>1</v>
      </c>
      <c r="M126" s="1161"/>
      <c r="N126" s="1161"/>
      <c r="O126" s="1161"/>
      <c r="P126" s="1161"/>
      <c r="Q126" s="1162">
        <f>-1/NG_Y_H.ANOX</f>
        <v>-1.5015015015015014</v>
      </c>
      <c r="R126" s="1162"/>
      <c r="S126" s="1161"/>
      <c r="T126" s="1161"/>
      <c r="U126" s="1161"/>
      <c r="V126" s="1161"/>
      <c r="W126" s="1161"/>
      <c r="X126" s="1161">
        <f t="shared" si="0"/>
        <v>-0.021</v>
      </c>
      <c r="Y126" s="1161"/>
      <c r="Z126" s="1161"/>
      <c r="AA126" s="1162">
        <f>-(1-NG_Y_H.ANOX)/(NG_i_NOx.N2*NG_Y_H.ANOX)</f>
        <v>-0.1755255255255255</v>
      </c>
      <c r="AB126" s="1161">
        <f>-NG_f_N.ZH</f>
        <v>-0.07</v>
      </c>
      <c r="AC126" s="1161"/>
      <c r="AD126" s="1162"/>
      <c r="AE126" s="1162">
        <f>(1-NG_Y_H.ANOX)/(NG_i_NOx.N2*NG_Y_H.ANOX)</f>
        <v>0.1755255255255255</v>
      </c>
      <c r="AF126" s="1163"/>
      <c r="AG126" s="1145"/>
      <c r="AH126" s="1167">
        <f t="shared" si="1"/>
        <v>0</v>
      </c>
      <c r="AI126" s="1168">
        <f t="shared" si="1"/>
        <v>0</v>
      </c>
      <c r="AJ126" s="1169">
        <f t="shared" si="1"/>
        <v>0</v>
      </c>
    </row>
    <row r="127" spans="1:36" ht="28.5">
      <c r="A127" s="248"/>
      <c r="B127" s="248"/>
      <c r="C127" s="248"/>
      <c r="D127" s="248"/>
      <c r="E127" s="248"/>
      <c r="F127" s="248"/>
      <c r="G127" s="248"/>
      <c r="H127" s="248"/>
      <c r="I127" s="248"/>
      <c r="J127" s="191" t="s">
        <v>2475</v>
      </c>
      <c r="K127" s="1160" t="s">
        <v>133</v>
      </c>
      <c r="L127" s="1161" t="s">
        <v>2467</v>
      </c>
      <c r="M127" s="1161"/>
      <c r="N127" s="1161"/>
      <c r="O127" s="1161"/>
      <c r="P127" s="1161"/>
      <c r="Q127" s="1162">
        <f>-1/NG_Y_H.aer</f>
        <v>-1.5015015015015014</v>
      </c>
      <c r="R127" s="1162"/>
      <c r="S127" s="1161"/>
      <c r="T127" s="1161"/>
      <c r="U127" s="1161"/>
      <c r="V127" s="1161"/>
      <c r="W127" s="1161"/>
      <c r="X127" s="1161">
        <f t="shared" si="0"/>
        <v>-0.021</v>
      </c>
      <c r="Y127" s="1161"/>
      <c r="Z127" s="1161"/>
      <c r="AA127" s="1161">
        <f>-NG_f_N.ZH</f>
        <v>-0.07</v>
      </c>
      <c r="AB127" s="1161"/>
      <c r="AC127" s="1161"/>
      <c r="AD127" s="1162">
        <f>-(1-NG_Y_H.aer)/NG_Y_H.aer-NG_i_COD_NOx*NG_f_N.ZH</f>
        <v>-0.1815015015015014</v>
      </c>
      <c r="AE127" s="1162"/>
      <c r="AF127" s="1170"/>
      <c r="AG127" s="1145"/>
      <c r="AH127" s="1167">
        <f t="shared" si="1"/>
        <v>0</v>
      </c>
      <c r="AI127" s="1168">
        <f t="shared" si="1"/>
        <v>0</v>
      </c>
      <c r="AJ127" s="1169">
        <f t="shared" si="1"/>
        <v>0</v>
      </c>
    </row>
    <row r="128" spans="1:36" ht="28.5">
      <c r="A128" s="248"/>
      <c r="B128" s="248"/>
      <c r="C128" s="248"/>
      <c r="D128" s="248"/>
      <c r="E128" s="248"/>
      <c r="F128" s="248"/>
      <c r="G128" s="248"/>
      <c r="H128" s="248"/>
      <c r="I128" s="248"/>
      <c r="J128" s="191">
        <v>4</v>
      </c>
      <c r="K128" s="1160" t="s">
        <v>136</v>
      </c>
      <c r="L128" s="1161">
        <v>1</v>
      </c>
      <c r="M128" s="1161"/>
      <c r="N128" s="1161"/>
      <c r="O128" s="1161"/>
      <c r="P128" s="1161"/>
      <c r="Q128" s="1162">
        <f>-1/NG_Y_H.ANOX+NG_i_COD_NOx*NG_f_N.ZH</f>
        <v>-1.8215015015015015</v>
      </c>
      <c r="R128" s="1162"/>
      <c r="S128" s="1161"/>
      <c r="T128" s="1161"/>
      <c r="U128" s="1161"/>
      <c r="V128" s="1161"/>
      <c r="W128" s="1161"/>
      <c r="X128" s="1161">
        <f t="shared" si="0"/>
        <v>-0.021</v>
      </c>
      <c r="Y128" s="1161"/>
      <c r="Z128" s="1161"/>
      <c r="AA128" s="1162">
        <f>-NG_f_N.ZH-(1-NG_Y_H.ANOX)/(NG_i_NOx.N2*NG_Y_H.ANOX)</f>
        <v>-0.2455255255255255</v>
      </c>
      <c r="AB128" s="1161"/>
      <c r="AC128" s="1161"/>
      <c r="AD128" s="1162"/>
      <c r="AE128" s="1162">
        <f>(1-NG_Y_H.ANOX)/(NG_i_NOx.N2*NG_Y_H.ANOX)</f>
        <v>0.1755255255255255</v>
      </c>
      <c r="AF128" s="1170"/>
      <c r="AG128" s="1145"/>
      <c r="AH128" s="1167">
        <f t="shared" si="1"/>
        <v>0</v>
      </c>
      <c r="AI128" s="1168">
        <f t="shared" si="1"/>
        <v>0</v>
      </c>
      <c r="AJ128" s="1169">
        <f t="shared" si="1"/>
        <v>0</v>
      </c>
    </row>
    <row r="129" spans="1:36" ht="28.5">
      <c r="A129" s="248"/>
      <c r="B129" s="248"/>
      <c r="C129" s="248"/>
      <c r="D129" s="248"/>
      <c r="E129" s="248"/>
      <c r="F129" s="248"/>
      <c r="G129" s="248"/>
      <c r="H129" s="248"/>
      <c r="I129" s="248"/>
      <c r="J129" s="191" t="s">
        <v>2479</v>
      </c>
      <c r="K129" s="1160" t="s">
        <v>140</v>
      </c>
      <c r="L129" s="1161" t="s">
        <v>2467</v>
      </c>
      <c r="M129" s="1161"/>
      <c r="N129" s="1161"/>
      <c r="O129" s="1161"/>
      <c r="P129" s="1161"/>
      <c r="Q129" s="1162"/>
      <c r="R129" s="1162">
        <f>-1/NG_Y_H.aer</f>
        <v>-1.5015015015015014</v>
      </c>
      <c r="S129" s="1161"/>
      <c r="T129" s="1161"/>
      <c r="U129" s="1161"/>
      <c r="V129" s="1161"/>
      <c r="W129" s="1161"/>
      <c r="X129" s="1161">
        <f t="shared" si="0"/>
        <v>-0.021</v>
      </c>
      <c r="Y129" s="1161"/>
      <c r="Z129" s="1161"/>
      <c r="AA129" s="1162"/>
      <c r="AB129" s="1161">
        <f>-NG_f_N.ZH</f>
        <v>-0.07</v>
      </c>
      <c r="AC129" s="1161"/>
      <c r="AD129" s="1162">
        <f>-(1-NG_Y_H.aer)/NG_Y_H.aer</f>
        <v>-0.5015015015015014</v>
      </c>
      <c r="AE129" s="1162"/>
      <c r="AF129" s="1170"/>
      <c r="AG129" s="1145"/>
      <c r="AH129" s="1167">
        <f t="shared" si="1"/>
        <v>0</v>
      </c>
      <c r="AI129" s="1168">
        <f t="shared" si="1"/>
        <v>0</v>
      </c>
      <c r="AJ129" s="1169">
        <f t="shared" si="1"/>
        <v>0</v>
      </c>
    </row>
    <row r="130" spans="1:36" ht="14.25">
      <c r="A130" s="248"/>
      <c r="B130" s="248"/>
      <c r="C130" s="248"/>
      <c r="D130" s="248"/>
      <c r="E130" s="248"/>
      <c r="F130" s="248"/>
      <c r="G130" s="248"/>
      <c r="H130" s="248"/>
      <c r="I130" s="248"/>
      <c r="J130" s="191">
        <v>6</v>
      </c>
      <c r="K130" s="1160" t="s">
        <v>142</v>
      </c>
      <c r="L130" s="1161">
        <v>1</v>
      </c>
      <c r="M130" s="1161"/>
      <c r="N130" s="1161"/>
      <c r="O130" s="1161"/>
      <c r="P130" s="1161"/>
      <c r="Q130" s="1162"/>
      <c r="R130" s="1162">
        <f>-1/NG_Y_H.ANOX</f>
        <v>-1.5015015015015014</v>
      </c>
      <c r="S130" s="1161"/>
      <c r="T130" s="1161"/>
      <c r="U130" s="1161"/>
      <c r="V130" s="1161"/>
      <c r="W130" s="1161"/>
      <c r="X130" s="1161">
        <f t="shared" si="0"/>
        <v>-0.021</v>
      </c>
      <c r="Y130" s="1161"/>
      <c r="Z130" s="1161"/>
      <c r="AA130" s="1162">
        <f>-(1-NG_Y_H.ANOX)/(NG_i_NOx.N2*NG_Y_H.ANOX)</f>
        <v>-0.1755255255255255</v>
      </c>
      <c r="AB130" s="1161">
        <f>-NG_f_N.ZH</f>
        <v>-0.07</v>
      </c>
      <c r="AC130" s="1161"/>
      <c r="AD130" s="1162"/>
      <c r="AE130" s="1162">
        <f>(1-NG_Y_H.ANOX)/(NG_i_NOx.N2*NG_Y_H.ANOX)</f>
        <v>0.1755255255255255</v>
      </c>
      <c r="AF130" s="1170"/>
      <c r="AG130" s="1145"/>
      <c r="AH130" s="1167">
        <f t="shared" si="1"/>
        <v>0</v>
      </c>
      <c r="AI130" s="1168">
        <f t="shared" si="1"/>
        <v>0</v>
      </c>
      <c r="AJ130" s="1169">
        <f t="shared" si="1"/>
        <v>0</v>
      </c>
    </row>
    <row r="131" spans="1:36" ht="28.5">
      <c r="A131" s="248"/>
      <c r="B131" s="248"/>
      <c r="C131" s="248"/>
      <c r="D131" s="248"/>
      <c r="E131" s="248"/>
      <c r="F131" s="248"/>
      <c r="G131" s="248"/>
      <c r="H131" s="248"/>
      <c r="I131" s="248"/>
      <c r="J131" s="191" t="s">
        <v>2484</v>
      </c>
      <c r="K131" s="1160" t="s">
        <v>144</v>
      </c>
      <c r="L131" s="1161" t="s">
        <v>2467</v>
      </c>
      <c r="M131" s="1161"/>
      <c r="N131" s="1161"/>
      <c r="O131" s="1161"/>
      <c r="P131" s="1161"/>
      <c r="Q131" s="1162"/>
      <c r="R131" s="1162">
        <f>-1/NG_Y_H.aer</f>
        <v>-1.5015015015015014</v>
      </c>
      <c r="S131" s="1161"/>
      <c r="T131" s="1161"/>
      <c r="U131" s="1161"/>
      <c r="V131" s="1161"/>
      <c r="W131" s="1161"/>
      <c r="X131" s="1161">
        <f t="shared" si="0"/>
        <v>-0.021</v>
      </c>
      <c r="Y131" s="1161"/>
      <c r="Z131" s="1161"/>
      <c r="AA131" s="1161">
        <f>-NG_f_N.ZH</f>
        <v>-0.07</v>
      </c>
      <c r="AB131" s="1161"/>
      <c r="AC131" s="1161"/>
      <c r="AD131" s="1162">
        <f>-(1-NG_Y_H.aer)/NG_Y_H.aer-NG_i_COD_NOx*NG_f_N.ZH</f>
        <v>-0.1815015015015014</v>
      </c>
      <c r="AE131" s="1162"/>
      <c r="AF131" s="1170"/>
      <c r="AG131" s="1145"/>
      <c r="AH131" s="1167">
        <f t="shared" si="1"/>
        <v>0</v>
      </c>
      <c r="AI131" s="1168">
        <f t="shared" si="1"/>
        <v>0</v>
      </c>
      <c r="AJ131" s="1169">
        <f t="shared" si="1"/>
        <v>0</v>
      </c>
    </row>
    <row r="132" spans="1:36" ht="14.25">
      <c r="A132" s="248"/>
      <c r="B132" s="248"/>
      <c r="C132" s="248"/>
      <c r="D132" s="248"/>
      <c r="E132" s="248"/>
      <c r="F132" s="248"/>
      <c r="G132" s="248"/>
      <c r="H132" s="248"/>
      <c r="I132" s="248"/>
      <c r="J132" s="191">
        <v>8</v>
      </c>
      <c r="K132" s="1160" t="s">
        <v>146</v>
      </c>
      <c r="L132" s="1161">
        <v>1</v>
      </c>
      <c r="M132" s="1161"/>
      <c r="N132" s="1161"/>
      <c r="O132" s="1161"/>
      <c r="P132" s="1161"/>
      <c r="Q132" s="1162"/>
      <c r="R132" s="1162">
        <f>-1/NG_Y_H.ANOX+NG_i_COD_NOx*NG_f_N.ZH</f>
        <v>-1.8215015015015015</v>
      </c>
      <c r="S132" s="1161"/>
      <c r="T132" s="1161"/>
      <c r="U132" s="1161"/>
      <c r="V132" s="1161"/>
      <c r="W132" s="1161"/>
      <c r="X132" s="1161">
        <f t="shared" si="0"/>
        <v>-0.021</v>
      </c>
      <c r="Y132" s="1161"/>
      <c r="Z132" s="1161"/>
      <c r="AA132" s="1162">
        <f>-NG_f_N.ZH-(1-NG_Y_H.ANOX)/(NG_i_NOx.N2*NG_Y_H.ANOX)</f>
        <v>-0.2455255255255255</v>
      </c>
      <c r="AB132" s="1161"/>
      <c r="AC132" s="1161"/>
      <c r="AD132" s="1161"/>
      <c r="AE132" s="1162">
        <f>(1-NG_Y_H.ANOX)/(NG_i_NOx.N2*NG_Y_H.ANOX)</f>
        <v>0.1755255255255255</v>
      </c>
      <c r="AF132" s="1170"/>
      <c r="AG132" s="1145"/>
      <c r="AH132" s="1167">
        <f t="shared" si="1"/>
        <v>0</v>
      </c>
      <c r="AI132" s="1168">
        <f t="shared" si="1"/>
        <v>0</v>
      </c>
      <c r="AJ132" s="1169">
        <f t="shared" si="1"/>
        <v>0</v>
      </c>
    </row>
    <row r="133" spans="1:36" ht="14.25">
      <c r="A133" s="248"/>
      <c r="B133" s="248"/>
      <c r="C133" s="248"/>
      <c r="D133" s="248"/>
      <c r="E133" s="248"/>
      <c r="F133" s="248"/>
      <c r="G133" s="248"/>
      <c r="H133" s="248"/>
      <c r="I133" s="248"/>
      <c r="J133" s="191" t="s">
        <v>2493</v>
      </c>
      <c r="K133" s="1160" t="s">
        <v>148</v>
      </c>
      <c r="L133" s="1161" t="s">
        <v>2488</v>
      </c>
      <c r="M133" s="1161"/>
      <c r="N133" s="1161"/>
      <c r="O133" s="1161">
        <f>NG_f_EP.H</f>
        <v>0.08</v>
      </c>
      <c r="P133" s="1161">
        <f>1-NG_f_EP.H</f>
        <v>0.92</v>
      </c>
      <c r="Q133" s="1161"/>
      <c r="R133" s="1161"/>
      <c r="S133" s="1161"/>
      <c r="T133" s="1161"/>
      <c r="U133" s="1161"/>
      <c r="V133" s="1161"/>
      <c r="W133" s="1161"/>
      <c r="X133" s="1171">
        <f>NG_f_P.ZH-NG_f_EP.H*NG_f_P.ZEH</f>
        <v>0.01932</v>
      </c>
      <c r="Y133" s="1171">
        <f>NG_f_N.ZH-NG_f_EP.H*NG_f_N.ZEH</f>
        <v>0.06440000000000001</v>
      </c>
      <c r="Z133" s="1161"/>
      <c r="AA133" s="1161"/>
      <c r="AB133" s="1161"/>
      <c r="AC133" s="1161"/>
      <c r="AD133" s="1161"/>
      <c r="AE133" s="1161"/>
      <c r="AF133" s="1163"/>
      <c r="AG133" s="1145"/>
      <c r="AH133" s="1167">
        <f t="shared" si="1"/>
        <v>0</v>
      </c>
      <c r="AI133" s="1168">
        <f t="shared" si="1"/>
        <v>0</v>
      </c>
      <c r="AJ133" s="1169">
        <f t="shared" si="1"/>
        <v>0</v>
      </c>
    </row>
    <row r="134" spans="1:36" ht="14.25">
      <c r="A134" s="248"/>
      <c r="B134" s="248"/>
      <c r="C134" s="248"/>
      <c r="D134" s="248"/>
      <c r="E134" s="248"/>
      <c r="F134" s="248"/>
      <c r="G134" s="248"/>
      <c r="H134" s="248"/>
      <c r="I134" s="248"/>
      <c r="J134" s="191" t="s">
        <v>2499</v>
      </c>
      <c r="K134" s="1160" t="s">
        <v>153</v>
      </c>
      <c r="L134" s="1161"/>
      <c r="M134" s="1161"/>
      <c r="N134" s="1161"/>
      <c r="O134" s="1161"/>
      <c r="P134" s="1161" t="s">
        <v>2488</v>
      </c>
      <c r="Q134" s="1161" t="s">
        <v>2467</v>
      </c>
      <c r="R134" s="1161"/>
      <c r="S134" s="1161"/>
      <c r="T134" s="1161"/>
      <c r="U134" s="1161"/>
      <c r="V134" s="1161"/>
      <c r="W134" s="1161"/>
      <c r="X134" s="1161"/>
      <c r="Y134" s="1161"/>
      <c r="Z134" s="1161"/>
      <c r="AA134" s="1161"/>
      <c r="AB134" s="1161"/>
      <c r="AC134" s="1161"/>
      <c r="AD134" s="1161"/>
      <c r="AE134" s="1161"/>
      <c r="AF134" s="1163"/>
      <c r="AG134" s="1145"/>
      <c r="AH134" s="1167">
        <f t="shared" si="1"/>
        <v>0</v>
      </c>
      <c r="AI134" s="1168">
        <f t="shared" si="1"/>
        <v>0</v>
      </c>
      <c r="AJ134" s="1169">
        <f t="shared" si="1"/>
        <v>0</v>
      </c>
    </row>
    <row r="135" spans="1:36" ht="14.25">
      <c r="A135" s="248"/>
      <c r="B135" s="248"/>
      <c r="C135" s="248"/>
      <c r="D135" s="248"/>
      <c r="E135" s="248"/>
      <c r="F135" s="248"/>
      <c r="G135" s="248"/>
      <c r="H135" s="248"/>
      <c r="I135" s="248"/>
      <c r="J135" s="191" t="s">
        <v>2502</v>
      </c>
      <c r="K135" s="1160" t="s">
        <v>155</v>
      </c>
      <c r="L135" s="1161"/>
      <c r="M135" s="1161"/>
      <c r="N135" s="1161"/>
      <c r="O135" s="1161"/>
      <c r="P135" s="1161" t="s">
        <v>2488</v>
      </c>
      <c r="Q135" s="1161">
        <f>NG_E_ANOX</f>
        <v>0.9</v>
      </c>
      <c r="R135" s="1161"/>
      <c r="S135" s="1161"/>
      <c r="T135" s="1161"/>
      <c r="U135" s="1161"/>
      <c r="V135" s="1161"/>
      <c r="W135" s="1161"/>
      <c r="X135" s="1161"/>
      <c r="Y135" s="1161"/>
      <c r="Z135" s="1161"/>
      <c r="AA135" s="1161"/>
      <c r="AB135" s="1161"/>
      <c r="AC135" s="1161"/>
      <c r="AD135" s="1161"/>
      <c r="AE135" s="1161"/>
      <c r="AF135" s="1163">
        <f>(1-NG_E_ANOX)/NG_i_COD_H2</f>
        <v>0.012499999999999997</v>
      </c>
      <c r="AG135" s="1145"/>
      <c r="AH135" s="1167">
        <f t="shared" si="1"/>
        <v>0</v>
      </c>
      <c r="AI135" s="1168">
        <f t="shared" si="1"/>
        <v>0</v>
      </c>
      <c r="AJ135" s="1169">
        <f t="shared" si="1"/>
        <v>0</v>
      </c>
    </row>
    <row r="136" spans="1:36" ht="14.25">
      <c r="A136" s="248"/>
      <c r="B136" s="248"/>
      <c r="C136" s="248"/>
      <c r="D136" s="248"/>
      <c r="E136" s="248"/>
      <c r="F136" s="248"/>
      <c r="G136" s="248"/>
      <c r="H136" s="248"/>
      <c r="I136" s="248"/>
      <c r="J136" s="191" t="s">
        <v>2082</v>
      </c>
      <c r="K136" s="1160" t="s">
        <v>158</v>
      </c>
      <c r="L136" s="1161"/>
      <c r="M136" s="1161"/>
      <c r="N136" s="1161"/>
      <c r="O136" s="1161"/>
      <c r="P136" s="1161" t="s">
        <v>2488</v>
      </c>
      <c r="Q136" s="1161">
        <f>NG_E_ANA</f>
        <v>0.6</v>
      </c>
      <c r="R136" s="1161"/>
      <c r="S136" s="1161"/>
      <c r="T136" s="1161"/>
      <c r="U136" s="1161"/>
      <c r="V136" s="1161"/>
      <c r="W136" s="1161"/>
      <c r="X136" s="1161"/>
      <c r="Y136" s="1161"/>
      <c r="Z136" s="1161"/>
      <c r="AA136" s="1161"/>
      <c r="AB136" s="1161"/>
      <c r="AC136" s="1161"/>
      <c r="AD136" s="1161"/>
      <c r="AE136" s="1161"/>
      <c r="AF136" s="1163">
        <f>(1-NG_E_ANA)/NG_i_COD_H2</f>
        <v>0.05</v>
      </c>
      <c r="AG136" s="1145"/>
      <c r="AH136" s="1167">
        <f t="shared" si="1"/>
        <v>0</v>
      </c>
      <c r="AI136" s="1168">
        <f t="shared" si="1"/>
        <v>0</v>
      </c>
      <c r="AJ136" s="1169">
        <f t="shared" si="1"/>
        <v>0</v>
      </c>
    </row>
    <row r="137" spans="1:36" ht="14.25">
      <c r="A137" s="248"/>
      <c r="B137" s="248"/>
      <c r="C137" s="248"/>
      <c r="D137" s="248"/>
      <c r="E137" s="248"/>
      <c r="F137" s="248"/>
      <c r="G137" s="248"/>
      <c r="H137" s="248"/>
      <c r="I137" s="248"/>
      <c r="J137" s="191" t="s">
        <v>2234</v>
      </c>
      <c r="K137" s="1160" t="s">
        <v>1960</v>
      </c>
      <c r="L137" s="1161"/>
      <c r="M137" s="1161"/>
      <c r="N137" s="1161"/>
      <c r="O137" s="1161"/>
      <c r="P137" s="1161"/>
      <c r="Q137" s="1161"/>
      <c r="R137" s="1161"/>
      <c r="S137" s="1161"/>
      <c r="T137" s="1161"/>
      <c r="U137" s="1161"/>
      <c r="V137" s="1161"/>
      <c r="W137" s="1161"/>
      <c r="X137" s="1161"/>
      <c r="Y137" s="1161" t="s">
        <v>2488</v>
      </c>
      <c r="Z137" s="1161" t="s">
        <v>2467</v>
      </c>
      <c r="AA137" s="1161"/>
      <c r="AB137" s="1161"/>
      <c r="AC137" s="1161"/>
      <c r="AD137" s="1161"/>
      <c r="AE137" s="1161"/>
      <c r="AF137" s="1163"/>
      <c r="AG137" s="1145"/>
      <c r="AH137" s="1167">
        <f t="shared" si="1"/>
        <v>0</v>
      </c>
      <c r="AI137" s="1168">
        <f t="shared" si="1"/>
        <v>0</v>
      </c>
      <c r="AJ137" s="1169">
        <f t="shared" si="1"/>
        <v>0</v>
      </c>
    </row>
    <row r="138" spans="1:36" ht="14.25">
      <c r="A138" s="248"/>
      <c r="B138" s="248"/>
      <c r="C138" s="248"/>
      <c r="D138" s="248"/>
      <c r="E138" s="248"/>
      <c r="F138" s="248"/>
      <c r="G138" s="248"/>
      <c r="H138" s="248"/>
      <c r="I138" s="248"/>
      <c r="J138" s="191" t="s">
        <v>2237</v>
      </c>
      <c r="K138" s="1160" t="s">
        <v>1962</v>
      </c>
      <c r="L138" s="1161"/>
      <c r="M138" s="1161"/>
      <c r="N138" s="1161"/>
      <c r="O138" s="1161"/>
      <c r="P138" s="1161"/>
      <c r="Q138" s="1161"/>
      <c r="R138" s="1161"/>
      <c r="S138" s="1161"/>
      <c r="T138" s="1161"/>
      <c r="U138" s="1161"/>
      <c r="V138" s="1161"/>
      <c r="W138" s="1161"/>
      <c r="X138" s="1161"/>
      <c r="Y138" s="1161"/>
      <c r="Z138" s="1161" t="s">
        <v>2488</v>
      </c>
      <c r="AA138" s="1161"/>
      <c r="AB138" s="1161" t="s">
        <v>2467</v>
      </c>
      <c r="AC138" s="1161"/>
      <c r="AD138" s="1161"/>
      <c r="AE138" s="1161"/>
      <c r="AF138" s="1163"/>
      <c r="AG138" s="1145"/>
      <c r="AH138" s="1167">
        <f t="shared" si="1"/>
        <v>0</v>
      </c>
      <c r="AI138" s="1168">
        <f t="shared" si="1"/>
        <v>0</v>
      </c>
      <c r="AJ138" s="1169">
        <f t="shared" si="1"/>
        <v>0</v>
      </c>
    </row>
    <row r="139" spans="1:36" ht="14.25">
      <c r="A139" s="248"/>
      <c r="B139" s="248"/>
      <c r="C139" s="248"/>
      <c r="D139" s="248"/>
      <c r="E139" s="248"/>
      <c r="F139" s="248"/>
      <c r="G139" s="248"/>
      <c r="H139" s="248"/>
      <c r="I139" s="248"/>
      <c r="J139" s="191" t="s">
        <v>2241</v>
      </c>
      <c r="K139" s="1160" t="s">
        <v>163</v>
      </c>
      <c r="L139" s="1161">
        <f>NG_Y_H.ANA</f>
        <v>0.1</v>
      </c>
      <c r="M139" s="1161"/>
      <c r="N139" s="1161"/>
      <c r="O139" s="1161"/>
      <c r="P139" s="1161"/>
      <c r="Q139" s="1161" t="s">
        <v>2488</v>
      </c>
      <c r="R139" s="1161">
        <f>(1-NG_Y_H.ANA)*NG_Y_AC</f>
        <v>0.45</v>
      </c>
      <c r="S139" s="1161"/>
      <c r="T139" s="1161"/>
      <c r="U139" s="1161"/>
      <c r="V139" s="1161"/>
      <c r="W139" s="1161"/>
      <c r="X139" s="1161">
        <f>-NG_f_P.ZH*NG_Y_H.ANA</f>
        <v>-0.0021000000000000003</v>
      </c>
      <c r="Y139" s="1161"/>
      <c r="Z139" s="1161"/>
      <c r="AA139" s="1161"/>
      <c r="AB139" s="1161">
        <f>-NG_f_N.ZH*NG_Y_H.ANA</f>
        <v>-0.007000000000000001</v>
      </c>
      <c r="AC139" s="1161"/>
      <c r="AD139" s="1161"/>
      <c r="AE139" s="1161"/>
      <c r="AF139" s="1163">
        <f>(1-(1-NG_Y_H.ANA)*NG_Y_AC-NG_Y_H.ANA)/NG_i_COD_H2</f>
        <v>0.05625000000000001</v>
      </c>
      <c r="AG139" s="1145"/>
      <c r="AH139" s="1167">
        <f t="shared" si="1"/>
        <v>5.551115123125783E-17</v>
      </c>
      <c r="AI139" s="1168">
        <f t="shared" si="1"/>
        <v>0</v>
      </c>
      <c r="AJ139" s="1169">
        <f t="shared" si="1"/>
        <v>0</v>
      </c>
    </row>
    <row r="140" spans="1:36" ht="14.25">
      <c r="A140" s="248"/>
      <c r="B140" s="248"/>
      <c r="C140" s="248"/>
      <c r="D140" s="248"/>
      <c r="E140" s="248"/>
      <c r="F140" s="248"/>
      <c r="G140" s="248"/>
      <c r="H140" s="248"/>
      <c r="I140" s="248"/>
      <c r="J140" s="191" t="s">
        <v>2244</v>
      </c>
      <c r="K140" s="1160" t="s">
        <v>169</v>
      </c>
      <c r="L140" s="1161"/>
      <c r="M140" s="1161" t="s">
        <v>2467</v>
      </c>
      <c r="N140" s="1161"/>
      <c r="O140" s="1161"/>
      <c r="P140" s="1161"/>
      <c r="Q140" s="1161"/>
      <c r="R140" s="1161"/>
      <c r="S140" s="1161"/>
      <c r="T140" s="1161"/>
      <c r="U140" s="1161"/>
      <c r="V140" s="1161"/>
      <c r="W140" s="1161"/>
      <c r="X140" s="1161">
        <f>-NG_f_P.ZA</f>
        <v>-0.021</v>
      </c>
      <c r="Y140" s="1161"/>
      <c r="Z140" s="1161"/>
      <c r="AA140" s="1162">
        <f>1/NG_Y_A</f>
        <v>6.666666666666667</v>
      </c>
      <c r="AB140" s="1162">
        <f>-NG_f_N.ZA-1/NG_Y_A</f>
        <v>-6.736666666666667</v>
      </c>
      <c r="AC140" s="1162"/>
      <c r="AD140" s="1162">
        <f>-(-NG_i_COD_NOx-NG_Y_A)/NG_Y_A</f>
        <v>-29.476190476190474</v>
      </c>
      <c r="AE140" s="1162"/>
      <c r="AF140" s="1163"/>
      <c r="AG140" s="1145"/>
      <c r="AH140" s="1167">
        <f t="shared" si="1"/>
        <v>0</v>
      </c>
      <c r="AI140" s="1168">
        <f t="shared" si="1"/>
        <v>0</v>
      </c>
      <c r="AJ140" s="1169">
        <f t="shared" si="1"/>
        <v>0</v>
      </c>
    </row>
    <row r="141" spans="1:36" ht="14.25">
      <c r="A141" s="248"/>
      <c r="B141" s="248"/>
      <c r="C141" s="248"/>
      <c r="D141" s="248"/>
      <c r="E141" s="248"/>
      <c r="F141" s="248"/>
      <c r="G141" s="248"/>
      <c r="H141" s="248"/>
      <c r="I141" s="248"/>
      <c r="J141" s="191">
        <v>17</v>
      </c>
      <c r="K141" s="1160" t="s">
        <v>173</v>
      </c>
      <c r="L141" s="1161"/>
      <c r="M141" s="1161">
        <v>-1</v>
      </c>
      <c r="N141" s="1161"/>
      <c r="O141" s="1161">
        <f>NG_f_EP.A</f>
        <v>0.08</v>
      </c>
      <c r="P141" s="1161">
        <f>1-NG_f_EP.A</f>
        <v>0.92</v>
      </c>
      <c r="Q141" s="1161"/>
      <c r="R141" s="1161"/>
      <c r="S141" s="1161"/>
      <c r="T141" s="1161"/>
      <c r="U141" s="1161"/>
      <c r="V141" s="1161"/>
      <c r="W141" s="1161"/>
      <c r="X141" s="1161">
        <f>NG_f_P.ZA-NG_f_EP.A*NG_f_P.ZEA</f>
        <v>0.01932</v>
      </c>
      <c r="Y141" s="1171">
        <f>NG_f_N.ZA-NG_f_EP.A*NG_f_N.ZEA</f>
        <v>0.06440000000000001</v>
      </c>
      <c r="Z141" s="1161"/>
      <c r="AA141" s="1161"/>
      <c r="AB141" s="1161"/>
      <c r="AC141" s="1161"/>
      <c r="AD141" s="1161"/>
      <c r="AE141" s="1161"/>
      <c r="AF141" s="1163"/>
      <c r="AG141" s="1145"/>
      <c r="AH141" s="1167">
        <f t="shared" si="1"/>
        <v>0</v>
      </c>
      <c r="AI141" s="1168">
        <f t="shared" si="1"/>
        <v>0</v>
      </c>
      <c r="AJ141" s="1169">
        <f t="shared" si="1"/>
        <v>0</v>
      </c>
    </row>
    <row r="142" spans="1:36" ht="28.5">
      <c r="A142" s="248"/>
      <c r="B142" s="248"/>
      <c r="C142" s="248"/>
      <c r="D142" s="248"/>
      <c r="E142" s="248"/>
      <c r="F142" s="248"/>
      <c r="G142" s="248"/>
      <c r="H142" s="248"/>
      <c r="I142" s="248"/>
      <c r="J142" s="191">
        <v>18</v>
      </c>
      <c r="K142" s="1160" t="s">
        <v>179</v>
      </c>
      <c r="L142" s="1161"/>
      <c r="M142" s="1161"/>
      <c r="N142" s="1161">
        <v>1</v>
      </c>
      <c r="O142" s="1161"/>
      <c r="P142" s="1161"/>
      <c r="Q142" s="1161"/>
      <c r="R142" s="1161"/>
      <c r="S142" s="1162">
        <f>-1/NG_Y_P</f>
        <v>-1.5649452269170578</v>
      </c>
      <c r="T142" s="1161"/>
      <c r="U142" s="1161"/>
      <c r="V142" s="1162">
        <f>NG_f_PP*NG_f_P.UPT1/NG_Y_P</f>
        <v>1.3974960876369324</v>
      </c>
      <c r="W142" s="1171">
        <f>(1-NG_f_PP)*NG_f_P.UPT1/NG_Y_P</f>
        <v>0.08920187793427238</v>
      </c>
      <c r="X142" s="1162">
        <f>-NG_f_P.UPT1/NG_Y_P-NG_f_P.ZP</f>
        <v>-1.5076979655712048</v>
      </c>
      <c r="Y142" s="1161"/>
      <c r="Z142" s="1161"/>
      <c r="AA142" s="1161"/>
      <c r="AB142" s="1161">
        <f>-NG_f_N.ZP</f>
        <v>-0.07</v>
      </c>
      <c r="AC142" s="1161"/>
      <c r="AD142" s="1162">
        <f>-(1-NG_Y_P)/NG_Y_P</f>
        <v>-0.5649452269170578</v>
      </c>
      <c r="AE142" s="1162"/>
      <c r="AF142" s="1163"/>
      <c r="AG142" s="1145"/>
      <c r="AH142" s="1167">
        <f t="shared" si="1"/>
        <v>0</v>
      </c>
      <c r="AI142" s="1168">
        <f t="shared" si="1"/>
        <v>0</v>
      </c>
      <c r="AJ142" s="1169">
        <f t="shared" si="1"/>
        <v>0</v>
      </c>
    </row>
    <row r="143" spans="1:36" ht="28.5">
      <c r="A143" s="248"/>
      <c r="B143" s="248"/>
      <c r="C143" s="248"/>
      <c r="D143" s="248"/>
      <c r="E143" s="248"/>
      <c r="F143" s="248"/>
      <c r="G143" s="248"/>
      <c r="H143" s="248"/>
      <c r="I143" s="248"/>
      <c r="J143" s="191" t="s">
        <v>2252</v>
      </c>
      <c r="K143" s="1160" t="s">
        <v>188</v>
      </c>
      <c r="L143" s="1161"/>
      <c r="M143" s="1161"/>
      <c r="N143" s="1161" t="s">
        <v>2467</v>
      </c>
      <c r="O143" s="1161"/>
      <c r="P143" s="1161"/>
      <c r="Q143" s="1161"/>
      <c r="R143" s="1161"/>
      <c r="S143" s="1162">
        <f>-1/NG_Y_P</f>
        <v>-1.5649452269170578</v>
      </c>
      <c r="T143" s="1161"/>
      <c r="U143" s="1161"/>
      <c r="V143" s="1162">
        <f>NG_f_PP*NG_f_P.UPT1/NG_Y_P</f>
        <v>1.3974960876369324</v>
      </c>
      <c r="W143" s="1171">
        <f>(1-NG_f_PP)*NG_f_P.UPT1/NG_Y_P</f>
        <v>0.08920187793427238</v>
      </c>
      <c r="X143" s="1162">
        <f>-NG_f_P.UPT1/NG_Y_P-NG_f_P.ZP</f>
        <v>-1.5076979655712048</v>
      </c>
      <c r="Y143" s="1161"/>
      <c r="Z143" s="1161"/>
      <c r="AA143" s="1161">
        <f>-NG_f_N.ZP</f>
        <v>-0.07</v>
      </c>
      <c r="AB143" s="1161"/>
      <c r="AC143" s="1161"/>
      <c r="AD143" s="1162">
        <f>-(1-NG_Y_P)/NG_Y_P-NG_i_COD_NOx*NG_f_N.ZP</f>
        <v>-0.24494522691705783</v>
      </c>
      <c r="AE143" s="1162"/>
      <c r="AF143" s="1163"/>
      <c r="AG143" s="1145"/>
      <c r="AH143" s="1167">
        <f t="shared" si="1"/>
        <v>0</v>
      </c>
      <c r="AI143" s="1168">
        <f t="shared" si="1"/>
        <v>0</v>
      </c>
      <c r="AJ143" s="1169">
        <f t="shared" si="1"/>
        <v>0</v>
      </c>
    </row>
    <row r="144" spans="1:36" ht="28.5">
      <c r="A144" s="248"/>
      <c r="B144" s="248"/>
      <c r="C144" s="248"/>
      <c r="D144" s="248"/>
      <c r="E144" s="248"/>
      <c r="F144" s="248"/>
      <c r="G144" s="248"/>
      <c r="H144" s="248"/>
      <c r="I144" s="248"/>
      <c r="J144" s="191" t="s">
        <v>2254</v>
      </c>
      <c r="K144" s="1160" t="s">
        <v>192</v>
      </c>
      <c r="L144" s="1161"/>
      <c r="M144" s="1161"/>
      <c r="N144" s="1161" t="s">
        <v>2467</v>
      </c>
      <c r="O144" s="1161"/>
      <c r="P144" s="1161"/>
      <c r="Q144" s="1161"/>
      <c r="R144" s="1161"/>
      <c r="S144" s="1162">
        <f>-1/NG_Y_P</f>
        <v>-1.5649452269170578</v>
      </c>
      <c r="T144" s="1161"/>
      <c r="U144" s="1161"/>
      <c r="V144" s="1161">
        <f>-NG_f_P.ZP</f>
        <v>-0.021</v>
      </c>
      <c r="W144" s="1161"/>
      <c r="X144" s="1161"/>
      <c r="Y144" s="1161"/>
      <c r="Z144" s="1161"/>
      <c r="AA144" s="1161"/>
      <c r="AB144" s="1161">
        <f>-NG_f_N.ZP</f>
        <v>-0.07</v>
      </c>
      <c r="AC144" s="1161"/>
      <c r="AD144" s="1162">
        <f>-(1-NG_Y_P)/NG_Y_P</f>
        <v>-0.5649452269170578</v>
      </c>
      <c r="AE144" s="1162"/>
      <c r="AF144" s="1163"/>
      <c r="AG144" s="1145"/>
      <c r="AH144" s="1167">
        <f t="shared" si="1"/>
        <v>0</v>
      </c>
      <c r="AI144" s="1168">
        <f t="shared" si="1"/>
        <v>0</v>
      </c>
      <c r="AJ144" s="1169">
        <f t="shared" si="1"/>
        <v>0</v>
      </c>
    </row>
    <row r="145" spans="1:36" ht="28.5">
      <c r="A145" s="248"/>
      <c r="B145" s="248"/>
      <c r="C145" s="248"/>
      <c r="D145" s="248"/>
      <c r="E145" s="248"/>
      <c r="F145" s="248"/>
      <c r="G145" s="248"/>
      <c r="H145" s="248"/>
      <c r="I145" s="248"/>
      <c r="J145" s="191" t="s">
        <v>2258</v>
      </c>
      <c r="K145" s="1160" t="s">
        <v>195</v>
      </c>
      <c r="L145" s="1161"/>
      <c r="M145" s="1161"/>
      <c r="N145" s="1161" t="s">
        <v>2467</v>
      </c>
      <c r="O145" s="1161"/>
      <c r="P145" s="1161"/>
      <c r="Q145" s="1161"/>
      <c r="R145" s="1161"/>
      <c r="S145" s="1162">
        <f>-1/NG_Y_P</f>
        <v>-1.5649452269170578</v>
      </c>
      <c r="T145" s="1161"/>
      <c r="U145" s="1161"/>
      <c r="V145" s="1161">
        <f>-NG_f_P.ZP</f>
        <v>-0.021</v>
      </c>
      <c r="W145" s="1161"/>
      <c r="X145" s="1161"/>
      <c r="Y145" s="1161"/>
      <c r="Z145" s="1161"/>
      <c r="AA145" s="1161">
        <f>-NG_f_N.ZP</f>
        <v>-0.07</v>
      </c>
      <c r="AB145" s="1161"/>
      <c r="AC145" s="1161"/>
      <c r="AD145" s="1162">
        <f>-(1-NG_Y_P)/NG_Y_P-NG_i_COD_NOx*NG_f_N.ZP</f>
        <v>-0.24494522691705783</v>
      </c>
      <c r="AE145" s="1162"/>
      <c r="AF145" s="1163"/>
      <c r="AG145" s="1145"/>
      <c r="AH145" s="1167">
        <f aca="true" t="shared" si="2" ref="AH145:AJ160">AH$103*$L145+AH$104*$M145+AH$105*$N145+AH$106*$O145+AH$107*$P145+AH$108*$Q145+AH$109*$R145+AH$110*$S145+AH$111*$T145+AH$112*$U145+AH$113*$V145+AH$114*$W145+AH$115*$X145+AH$116*$Y145+AH$117*$Z145+AH$118*$AA145+AH$119*$AB145+AH$120*$AC145+AH$121*$AD145+AH$123*$AF145+AH$122*$AE145</f>
        <v>0</v>
      </c>
      <c r="AI145" s="1168">
        <f t="shared" si="2"/>
        <v>0</v>
      </c>
      <c r="AJ145" s="1169">
        <f t="shared" si="2"/>
        <v>0</v>
      </c>
    </row>
    <row r="146" spans="1:36" ht="14.25">
      <c r="A146" s="248"/>
      <c r="B146" s="248"/>
      <c r="C146" s="248"/>
      <c r="D146" s="248"/>
      <c r="E146" s="248"/>
      <c r="F146" s="248"/>
      <c r="G146" s="248"/>
      <c r="H146" s="248"/>
      <c r="I146" s="248"/>
      <c r="J146" s="191" t="s">
        <v>1763</v>
      </c>
      <c r="K146" s="1160" t="s">
        <v>198</v>
      </c>
      <c r="L146" s="1161"/>
      <c r="M146" s="1161"/>
      <c r="N146" s="1161" t="s">
        <v>2467</v>
      </c>
      <c r="O146" s="1161"/>
      <c r="P146" s="1161"/>
      <c r="Q146" s="1161"/>
      <c r="R146" s="1161"/>
      <c r="S146" s="1162">
        <f>-1/NG_Y_P</f>
        <v>-1.5649452269170578</v>
      </c>
      <c r="T146" s="1161"/>
      <c r="U146" s="1161"/>
      <c r="V146" s="1162">
        <f>NG_f_PP*NG_f_P.UPT2/NG_Y_P</f>
        <v>0.809076682316119</v>
      </c>
      <c r="W146" s="1171">
        <f>(1-NG_f_PP)*NG_f_P.UPT2/NG_Y_P</f>
        <v>0.051643192488262955</v>
      </c>
      <c r="X146" s="1162">
        <f>-NG_f_P.UPT2/NG_Y_P-NG_f_P.ZP</f>
        <v>-0.881719874804382</v>
      </c>
      <c r="Y146" s="1161"/>
      <c r="Z146" s="1161"/>
      <c r="AA146" s="1162">
        <f>-(1-NG_Y_P)/(NG_i_NOx.N2*NG_Y_P)</f>
        <v>-0.19773082942097026</v>
      </c>
      <c r="AB146" s="1161">
        <f>-NG_f_N.ZP</f>
        <v>-0.07</v>
      </c>
      <c r="AC146" s="1161"/>
      <c r="AD146" s="1161"/>
      <c r="AE146" s="1161">
        <f>(1-NG_Y_P)/(NG_i_NOx.N2*NG_Y_P)</f>
        <v>0.19773082942097026</v>
      </c>
      <c r="AF146" s="1163"/>
      <c r="AG146" s="1145"/>
      <c r="AH146" s="1167">
        <f t="shared" si="2"/>
        <v>0</v>
      </c>
      <c r="AI146" s="1168">
        <f t="shared" si="2"/>
        <v>0</v>
      </c>
      <c r="AJ146" s="1169">
        <f t="shared" si="2"/>
        <v>0</v>
      </c>
    </row>
    <row r="147" spans="1:36" ht="14.25">
      <c r="A147" s="248"/>
      <c r="B147" s="248"/>
      <c r="C147" s="248"/>
      <c r="D147" s="248"/>
      <c r="E147" s="248"/>
      <c r="F147" s="248"/>
      <c r="G147" s="248"/>
      <c r="H147" s="248"/>
      <c r="I147" s="248"/>
      <c r="J147" s="191" t="s">
        <v>1982</v>
      </c>
      <c r="K147" s="1160" t="s">
        <v>206</v>
      </c>
      <c r="L147" s="1161"/>
      <c r="M147" s="1161"/>
      <c r="N147" s="1161" t="s">
        <v>2488</v>
      </c>
      <c r="O147" s="1161">
        <f>NG_f_EP.P</f>
        <v>0.25</v>
      </c>
      <c r="P147" s="1161"/>
      <c r="Q147" s="1161"/>
      <c r="R147" s="1161"/>
      <c r="S147" s="1161"/>
      <c r="T147" s="1161"/>
      <c r="U147" s="1161">
        <f>NG_f_ES.P</f>
        <v>0.2</v>
      </c>
      <c r="V147" s="1161"/>
      <c r="W147" s="1161"/>
      <c r="X147" s="1171">
        <f>NG_f_P.ZP-NG_f_EP.P*NG_f_P.ZEP</f>
        <v>0.01575</v>
      </c>
      <c r="Y147" s="1161"/>
      <c r="Z147" s="1161">
        <f>NG_f_ES.P*NG_f_N.SEP</f>
        <v>0.014000000000000002</v>
      </c>
      <c r="AA147" s="1162"/>
      <c r="AB147" s="1171">
        <f>NG_f_N.ZP-NG_f_EP.P*NG_f_N.ZEP-NG_f_ES.P*NG_f_N.SEP</f>
        <v>0.038500000000000006</v>
      </c>
      <c r="AC147" s="1161"/>
      <c r="AD147" s="1161">
        <f>-(1-NG_f_EP.P-NG_f_ES.P)</f>
        <v>-0.55</v>
      </c>
      <c r="AE147" s="1161"/>
      <c r="AF147" s="1163"/>
      <c r="AG147" s="1145"/>
      <c r="AH147" s="1167">
        <f t="shared" si="2"/>
        <v>0</v>
      </c>
      <c r="AI147" s="1168">
        <f t="shared" si="2"/>
        <v>0</v>
      </c>
      <c r="AJ147" s="1169">
        <f t="shared" si="2"/>
        <v>0</v>
      </c>
    </row>
    <row r="148" spans="1:36" ht="14.25">
      <c r="A148" s="248"/>
      <c r="B148" s="248"/>
      <c r="C148" s="248"/>
      <c r="D148" s="248"/>
      <c r="E148" s="248"/>
      <c r="F148" s="248"/>
      <c r="G148" s="248"/>
      <c r="H148" s="248"/>
      <c r="I148" s="248"/>
      <c r="J148" s="191" t="s">
        <v>1987</v>
      </c>
      <c r="K148" s="1160" t="s">
        <v>213</v>
      </c>
      <c r="L148" s="1161"/>
      <c r="M148" s="1161"/>
      <c r="N148" s="1161"/>
      <c r="O148" s="1161"/>
      <c r="P148" s="1161"/>
      <c r="Q148" s="1161"/>
      <c r="R148" s="1161"/>
      <c r="S148" s="1161"/>
      <c r="T148" s="1161"/>
      <c r="U148" s="1161"/>
      <c r="V148" s="1161" t="s">
        <v>2488</v>
      </c>
      <c r="W148" s="1161"/>
      <c r="X148" s="1161" t="s">
        <v>2467</v>
      </c>
      <c r="Y148" s="1161"/>
      <c r="Z148" s="1161"/>
      <c r="AA148" s="1162"/>
      <c r="AB148" s="1171"/>
      <c r="AC148" s="1161"/>
      <c r="AD148" s="1161"/>
      <c r="AE148" s="1161"/>
      <c r="AF148" s="1163"/>
      <c r="AG148" s="1145"/>
      <c r="AH148" s="1167">
        <f t="shared" si="2"/>
        <v>0</v>
      </c>
      <c r="AI148" s="1168">
        <f t="shared" si="2"/>
        <v>0</v>
      </c>
      <c r="AJ148" s="1169">
        <f t="shared" si="2"/>
        <v>0</v>
      </c>
    </row>
    <row r="149" spans="1:36" ht="14.25">
      <c r="A149" s="248"/>
      <c r="B149" s="248"/>
      <c r="C149" s="248"/>
      <c r="D149" s="248"/>
      <c r="E149" s="248"/>
      <c r="F149" s="248"/>
      <c r="G149" s="248"/>
      <c r="H149" s="248"/>
      <c r="I149" s="248"/>
      <c r="J149" s="191" t="s">
        <v>1989</v>
      </c>
      <c r="K149" s="1160" t="s">
        <v>215</v>
      </c>
      <c r="L149" s="1161"/>
      <c r="M149" s="1161"/>
      <c r="N149" s="1161"/>
      <c r="O149" s="1161"/>
      <c r="P149" s="1161"/>
      <c r="Q149" s="1161"/>
      <c r="R149" s="1161"/>
      <c r="S149" s="1161"/>
      <c r="T149" s="1161"/>
      <c r="U149" s="1161"/>
      <c r="V149" s="1161"/>
      <c r="W149" s="1161" t="s">
        <v>2488</v>
      </c>
      <c r="X149" s="1161" t="s">
        <v>2467</v>
      </c>
      <c r="Y149" s="1161"/>
      <c r="Z149" s="1161"/>
      <c r="AA149" s="1162"/>
      <c r="AB149" s="1171"/>
      <c r="AC149" s="1161"/>
      <c r="AD149" s="1161"/>
      <c r="AE149" s="1161"/>
      <c r="AF149" s="1163"/>
      <c r="AG149" s="1145"/>
      <c r="AH149" s="1167">
        <f t="shared" si="2"/>
        <v>0</v>
      </c>
      <c r="AI149" s="1168">
        <f t="shared" si="2"/>
        <v>0</v>
      </c>
      <c r="AJ149" s="1169">
        <f t="shared" si="2"/>
        <v>0</v>
      </c>
    </row>
    <row r="150" spans="1:36" ht="14.25">
      <c r="A150" s="248"/>
      <c r="B150" s="248"/>
      <c r="C150" s="248"/>
      <c r="D150" s="248"/>
      <c r="E150" s="248"/>
      <c r="F150" s="248"/>
      <c r="G150" s="248"/>
      <c r="H150" s="248"/>
      <c r="I150" s="248"/>
      <c r="J150" s="191" t="s">
        <v>1993</v>
      </c>
      <c r="K150" s="1160" t="s">
        <v>218</v>
      </c>
      <c r="L150" s="1161"/>
      <c r="M150" s="1161"/>
      <c r="N150" s="1161"/>
      <c r="O150" s="1161"/>
      <c r="P150" s="1161"/>
      <c r="Q150" s="1161"/>
      <c r="R150" s="1161" t="s">
        <v>2467</v>
      </c>
      <c r="S150" s="1161" t="s">
        <v>2488</v>
      </c>
      <c r="T150" s="1161"/>
      <c r="U150" s="1161"/>
      <c r="V150" s="1161"/>
      <c r="W150" s="1161"/>
      <c r="X150" s="1161"/>
      <c r="Y150" s="1161"/>
      <c r="Z150" s="1161"/>
      <c r="AA150" s="1162"/>
      <c r="AB150" s="1171"/>
      <c r="AC150" s="1161"/>
      <c r="AD150" s="1161"/>
      <c r="AE150" s="1161"/>
      <c r="AF150" s="1163"/>
      <c r="AG150" s="1145"/>
      <c r="AH150" s="1167">
        <f t="shared" si="2"/>
        <v>0</v>
      </c>
      <c r="AI150" s="1168">
        <f t="shared" si="2"/>
        <v>0</v>
      </c>
      <c r="AJ150" s="1169">
        <f t="shared" si="2"/>
        <v>0</v>
      </c>
    </row>
    <row r="151" spans="1:36" ht="14.25">
      <c r="A151" s="248"/>
      <c r="B151" s="248"/>
      <c r="C151" s="248"/>
      <c r="D151" s="248"/>
      <c r="E151" s="248"/>
      <c r="F151" s="248"/>
      <c r="G151" s="248"/>
      <c r="H151" s="248"/>
      <c r="I151" s="248"/>
      <c r="J151" s="191" t="s">
        <v>1995</v>
      </c>
      <c r="K151" s="1160" t="s">
        <v>220</v>
      </c>
      <c r="L151" s="1161"/>
      <c r="M151" s="1161"/>
      <c r="N151" s="1161" t="s">
        <v>2488</v>
      </c>
      <c r="O151" s="1161">
        <f>NG_f_EP.P</f>
        <v>0.25</v>
      </c>
      <c r="P151" s="1161"/>
      <c r="Q151" s="1161"/>
      <c r="R151" s="1161"/>
      <c r="S151" s="1161"/>
      <c r="T151" s="1161"/>
      <c r="U151" s="1161">
        <f>NG_f_ES.P</f>
        <v>0.2</v>
      </c>
      <c r="V151" s="1161"/>
      <c r="W151" s="1161"/>
      <c r="X151" s="1171">
        <f>NG_f_P.ZP-NG_f_EP.P*NG_f_P.ZEP</f>
        <v>0.01575</v>
      </c>
      <c r="Y151" s="1161"/>
      <c r="Z151" s="1161">
        <f>NG_f_ES.P*NG_f_N.SEP</f>
        <v>0.014000000000000002</v>
      </c>
      <c r="AA151" s="1162">
        <f>-(1-NG_f_EP.P-NG_f_ES.P)/NG_i_NOx.N2</f>
        <v>-0.1925</v>
      </c>
      <c r="AB151" s="1171">
        <f>NG_f_N.ZP-NG_f_EP.P*NG_f_N.ZEP-NG_f_ES.P*NG_f_N.SEP</f>
        <v>0.038500000000000006</v>
      </c>
      <c r="AC151" s="1161"/>
      <c r="AD151" s="1161"/>
      <c r="AE151" s="1161">
        <f>(1-NG_f_EP.P-NG_f_ES.P)/NG_i_NOx.N2</f>
        <v>0.1925</v>
      </c>
      <c r="AF151" s="1163"/>
      <c r="AG151" s="1145"/>
      <c r="AH151" s="1167">
        <f t="shared" si="2"/>
        <v>0</v>
      </c>
      <c r="AI151" s="1168">
        <f t="shared" si="2"/>
        <v>0</v>
      </c>
      <c r="AJ151" s="1169">
        <f t="shared" si="2"/>
        <v>0</v>
      </c>
    </row>
    <row r="152" spans="1:36" ht="14.25">
      <c r="A152" s="248"/>
      <c r="B152" s="248"/>
      <c r="C152" s="248"/>
      <c r="D152" s="248"/>
      <c r="E152" s="248"/>
      <c r="F152" s="248"/>
      <c r="G152" s="248"/>
      <c r="H152" s="248"/>
      <c r="I152" s="248"/>
      <c r="J152" s="191" t="s">
        <v>1998</v>
      </c>
      <c r="K152" s="1160" t="s">
        <v>225</v>
      </c>
      <c r="L152" s="1161"/>
      <c r="M152" s="1161"/>
      <c r="N152" s="1161"/>
      <c r="O152" s="1161"/>
      <c r="P152" s="1161"/>
      <c r="Q152" s="1161"/>
      <c r="R152" s="1161"/>
      <c r="S152" s="1161"/>
      <c r="T152" s="1161"/>
      <c r="U152" s="1161"/>
      <c r="V152" s="1161" t="s">
        <v>2488</v>
      </c>
      <c r="W152" s="1161"/>
      <c r="X152" s="1161" t="s">
        <v>2467</v>
      </c>
      <c r="Y152" s="1161"/>
      <c r="Z152" s="1161"/>
      <c r="AA152" s="1161"/>
      <c r="AB152" s="1161"/>
      <c r="AC152" s="1161"/>
      <c r="AD152" s="1161"/>
      <c r="AE152" s="1161"/>
      <c r="AF152" s="1163"/>
      <c r="AG152" s="1145"/>
      <c r="AH152" s="1167">
        <f t="shared" si="2"/>
        <v>0</v>
      </c>
      <c r="AI152" s="1168">
        <f t="shared" si="2"/>
        <v>0</v>
      </c>
      <c r="AJ152" s="1169">
        <f t="shared" si="2"/>
        <v>0</v>
      </c>
    </row>
    <row r="153" spans="1:36" ht="14.25">
      <c r="A153" s="248"/>
      <c r="B153" s="248"/>
      <c r="C153" s="248"/>
      <c r="D153" s="248"/>
      <c r="E153" s="248"/>
      <c r="F153" s="248"/>
      <c r="G153" s="248"/>
      <c r="H153" s="248"/>
      <c r="I153" s="248"/>
      <c r="J153" s="191" t="s">
        <v>2001</v>
      </c>
      <c r="K153" s="1160" t="s">
        <v>228</v>
      </c>
      <c r="L153" s="1161"/>
      <c r="M153" s="1161"/>
      <c r="N153" s="1161"/>
      <c r="O153" s="1161"/>
      <c r="P153" s="1161"/>
      <c r="Q153" s="1161"/>
      <c r="R153" s="1161"/>
      <c r="S153" s="1161"/>
      <c r="T153" s="1161"/>
      <c r="U153" s="1161"/>
      <c r="V153" s="1161"/>
      <c r="W153" s="1161" t="s">
        <v>2488</v>
      </c>
      <c r="X153" s="1161" t="s">
        <v>2467</v>
      </c>
      <c r="Y153" s="1161"/>
      <c r="Z153" s="1161"/>
      <c r="AA153" s="1161"/>
      <c r="AB153" s="1161"/>
      <c r="AC153" s="1161"/>
      <c r="AD153" s="1161"/>
      <c r="AE153" s="1161"/>
      <c r="AF153" s="1163"/>
      <c r="AG153" s="1145"/>
      <c r="AH153" s="1167">
        <f t="shared" si="2"/>
        <v>0</v>
      </c>
      <c r="AI153" s="1168">
        <f t="shared" si="2"/>
        <v>0</v>
      </c>
      <c r="AJ153" s="1169">
        <f t="shared" si="2"/>
        <v>0</v>
      </c>
    </row>
    <row r="154" spans="1:36" ht="14.25">
      <c r="A154" s="248"/>
      <c r="B154" s="248"/>
      <c r="C154" s="248"/>
      <c r="D154" s="248"/>
      <c r="E154" s="248"/>
      <c r="F154" s="248"/>
      <c r="G154" s="248"/>
      <c r="H154" s="248"/>
      <c r="I154" s="248"/>
      <c r="J154" s="191" t="s">
        <v>2004</v>
      </c>
      <c r="K154" s="1160" t="s">
        <v>231</v>
      </c>
      <c r="L154" s="1161"/>
      <c r="M154" s="1161"/>
      <c r="N154" s="1161"/>
      <c r="O154" s="1161"/>
      <c r="P154" s="1161"/>
      <c r="Q154" s="1161"/>
      <c r="R154" s="1161" t="s">
        <v>2467</v>
      </c>
      <c r="S154" s="1161" t="s">
        <v>2488</v>
      </c>
      <c r="T154" s="1161"/>
      <c r="U154" s="1161"/>
      <c r="V154" s="1161"/>
      <c r="W154" s="1161"/>
      <c r="X154" s="1161"/>
      <c r="Y154" s="1161"/>
      <c r="Z154" s="1161"/>
      <c r="AA154" s="1161"/>
      <c r="AB154" s="1161"/>
      <c r="AC154" s="1161"/>
      <c r="AD154" s="1161"/>
      <c r="AE154" s="1161"/>
      <c r="AF154" s="1163"/>
      <c r="AG154" s="1145"/>
      <c r="AH154" s="1167">
        <f t="shared" si="2"/>
        <v>0</v>
      </c>
      <c r="AI154" s="1168">
        <f t="shared" si="2"/>
        <v>0</v>
      </c>
      <c r="AJ154" s="1169">
        <f t="shared" si="2"/>
        <v>0</v>
      </c>
    </row>
    <row r="155" spans="1:36" ht="14.25">
      <c r="A155" s="248"/>
      <c r="B155" s="248"/>
      <c r="C155" s="248"/>
      <c r="D155" s="248"/>
      <c r="E155" s="248"/>
      <c r="F155" s="248"/>
      <c r="G155" s="248"/>
      <c r="H155" s="248"/>
      <c r="I155" s="248"/>
      <c r="J155" s="191" t="s">
        <v>2006</v>
      </c>
      <c r="K155" s="1160" t="s">
        <v>233</v>
      </c>
      <c r="L155" s="1161"/>
      <c r="M155" s="1161"/>
      <c r="N155" s="1161" t="s">
        <v>2488</v>
      </c>
      <c r="O155" s="1161">
        <f>NG_f_EP.P</f>
        <v>0.25</v>
      </c>
      <c r="P155" s="1161"/>
      <c r="Q155" s="1161"/>
      <c r="R155" s="1161"/>
      <c r="S155" s="1161"/>
      <c r="T155" s="1161"/>
      <c r="U155" s="1161">
        <f>1-NG_f_EP.P</f>
        <v>0.75</v>
      </c>
      <c r="V155" s="1161"/>
      <c r="W155" s="1161"/>
      <c r="X155" s="1171">
        <f>NG_f_P.ZP-NG_f_EP.P*NG_f_P.ZEP</f>
        <v>0.01575</v>
      </c>
      <c r="Y155" s="1161"/>
      <c r="Z155" s="1161">
        <f>NG_f_ES.P*NG_f_N.SEP</f>
        <v>0.014000000000000002</v>
      </c>
      <c r="AA155" s="1161"/>
      <c r="AB155" s="1161">
        <f>NG_f_N.ZP-NG_f_EP.P*NG_f_N.ZEP-NG_f_ES.P*NG_f_N.SEP</f>
        <v>0.038500000000000006</v>
      </c>
      <c r="AC155" s="1161"/>
      <c r="AD155" s="1161"/>
      <c r="AE155" s="1161"/>
      <c r="AF155" s="1163"/>
      <c r="AG155" s="1145"/>
      <c r="AH155" s="1167">
        <f t="shared" si="2"/>
        <v>0</v>
      </c>
      <c r="AI155" s="1168">
        <f t="shared" si="2"/>
        <v>0</v>
      </c>
      <c r="AJ155" s="1169">
        <f t="shared" si="2"/>
        <v>0</v>
      </c>
    </row>
    <row r="156" spans="1:36" ht="14.25">
      <c r="A156" s="248"/>
      <c r="B156" s="248"/>
      <c r="C156" s="248"/>
      <c r="D156" s="248"/>
      <c r="E156" s="248"/>
      <c r="F156" s="248"/>
      <c r="G156" s="248"/>
      <c r="H156" s="248"/>
      <c r="I156" s="248"/>
      <c r="J156" s="191" t="s">
        <v>2009</v>
      </c>
      <c r="K156" s="1160" t="s">
        <v>238</v>
      </c>
      <c r="L156" s="1161"/>
      <c r="M156" s="1161"/>
      <c r="N156" s="1161"/>
      <c r="O156" s="1161"/>
      <c r="P156" s="1161"/>
      <c r="Q156" s="1161"/>
      <c r="R156" s="1161"/>
      <c r="S156" s="1161"/>
      <c r="T156" s="1161"/>
      <c r="U156" s="1161"/>
      <c r="V156" s="1161" t="s">
        <v>2488</v>
      </c>
      <c r="W156" s="1161"/>
      <c r="X156" s="1161" t="s">
        <v>2467</v>
      </c>
      <c r="Y156" s="1161"/>
      <c r="Z156" s="1161"/>
      <c r="AA156" s="1161"/>
      <c r="AB156" s="1161"/>
      <c r="AC156" s="1161"/>
      <c r="AD156" s="1161"/>
      <c r="AE156" s="1161"/>
      <c r="AF156" s="1163"/>
      <c r="AG156" s="1145"/>
      <c r="AH156" s="1167">
        <f t="shared" si="2"/>
        <v>0</v>
      </c>
      <c r="AI156" s="1168">
        <f t="shared" si="2"/>
        <v>0</v>
      </c>
      <c r="AJ156" s="1169">
        <f t="shared" si="2"/>
        <v>0</v>
      </c>
    </row>
    <row r="157" spans="1:36" ht="14.25">
      <c r="A157" s="248"/>
      <c r="B157" s="248"/>
      <c r="C157" s="248"/>
      <c r="D157" s="248"/>
      <c r="E157" s="248"/>
      <c r="F157" s="248"/>
      <c r="G157" s="248"/>
      <c r="H157" s="248"/>
      <c r="I157" s="248"/>
      <c r="J157" s="191" t="s">
        <v>2011</v>
      </c>
      <c r="K157" s="1160" t="s">
        <v>241</v>
      </c>
      <c r="L157" s="1161"/>
      <c r="M157" s="1161"/>
      <c r="N157" s="1161"/>
      <c r="O157" s="1161"/>
      <c r="P157" s="1161"/>
      <c r="Q157" s="1161"/>
      <c r="R157" s="1161"/>
      <c r="S157" s="1161"/>
      <c r="T157" s="1161"/>
      <c r="U157" s="1161"/>
      <c r="V157" s="1161"/>
      <c r="W157" s="1161" t="s">
        <v>2488</v>
      </c>
      <c r="X157" s="1161" t="s">
        <v>2467</v>
      </c>
      <c r="Y157" s="1161"/>
      <c r="Z157" s="1161"/>
      <c r="AA157" s="1161"/>
      <c r="AB157" s="1161"/>
      <c r="AC157" s="1161"/>
      <c r="AD157" s="1161"/>
      <c r="AE157" s="1161"/>
      <c r="AF157" s="1163"/>
      <c r="AG157" s="1145"/>
      <c r="AH157" s="1167">
        <f t="shared" si="2"/>
        <v>0</v>
      </c>
      <c r="AI157" s="1168">
        <f t="shared" si="2"/>
        <v>0</v>
      </c>
      <c r="AJ157" s="1169">
        <f t="shared" si="2"/>
        <v>0</v>
      </c>
    </row>
    <row r="158" spans="1:36" ht="14.25">
      <c r="A158" s="248"/>
      <c r="B158" s="248"/>
      <c r="C158" s="248"/>
      <c r="D158" s="248"/>
      <c r="E158" s="248"/>
      <c r="F158" s="248"/>
      <c r="G158" s="248"/>
      <c r="H158" s="248"/>
      <c r="I158" s="248"/>
      <c r="J158" s="191" t="s">
        <v>2013</v>
      </c>
      <c r="K158" s="1160" t="s">
        <v>243</v>
      </c>
      <c r="L158" s="1161"/>
      <c r="M158" s="1161"/>
      <c r="N158" s="1161"/>
      <c r="O158" s="1161"/>
      <c r="P158" s="1161"/>
      <c r="Q158" s="1161"/>
      <c r="R158" s="1161" t="s">
        <v>2467</v>
      </c>
      <c r="S158" s="1161" t="s">
        <v>2488</v>
      </c>
      <c r="T158" s="1161"/>
      <c r="U158" s="1161"/>
      <c r="V158" s="1161"/>
      <c r="W158" s="1161"/>
      <c r="X158" s="1161"/>
      <c r="Y158" s="1161"/>
      <c r="Z158" s="1161"/>
      <c r="AA158" s="1161"/>
      <c r="AB158" s="1161"/>
      <c r="AC158" s="1161"/>
      <c r="AD158" s="1161"/>
      <c r="AE158" s="1161"/>
      <c r="AF158" s="1163"/>
      <c r="AG158" s="1145"/>
      <c r="AH158" s="1167">
        <f t="shared" si="2"/>
        <v>0</v>
      </c>
      <c r="AI158" s="1168">
        <f t="shared" si="2"/>
        <v>0</v>
      </c>
      <c r="AJ158" s="1169">
        <f t="shared" si="2"/>
        <v>0</v>
      </c>
    </row>
    <row r="159" spans="1:36" ht="25.5">
      <c r="A159" s="248"/>
      <c r="B159" s="248"/>
      <c r="C159" s="248"/>
      <c r="D159" s="248"/>
      <c r="E159" s="248"/>
      <c r="F159" s="248"/>
      <c r="G159" s="248"/>
      <c r="H159" s="248"/>
      <c r="I159" s="248"/>
      <c r="J159" s="191" t="s">
        <v>2014</v>
      </c>
      <c r="K159" s="1160" t="s">
        <v>2015</v>
      </c>
      <c r="L159" s="1161"/>
      <c r="M159" s="1161"/>
      <c r="N159" s="1161"/>
      <c r="O159" s="1161"/>
      <c r="P159" s="1161"/>
      <c r="Q159" s="1161"/>
      <c r="R159" s="1161"/>
      <c r="S159" s="1161"/>
      <c r="T159" s="1161"/>
      <c r="U159" s="1161"/>
      <c r="V159" s="1161" t="s">
        <v>2488</v>
      </c>
      <c r="W159" s="1161"/>
      <c r="X159" s="1161" t="s">
        <v>2467</v>
      </c>
      <c r="Y159" s="1161"/>
      <c r="Z159" s="1161"/>
      <c r="AA159" s="1161"/>
      <c r="AB159" s="1161"/>
      <c r="AC159" s="1161"/>
      <c r="AD159" s="1161"/>
      <c r="AE159" s="1161"/>
      <c r="AF159" s="1163"/>
      <c r="AG159" s="1145"/>
      <c r="AH159" s="1167">
        <f t="shared" si="2"/>
        <v>0</v>
      </c>
      <c r="AI159" s="1168">
        <f t="shared" si="2"/>
        <v>0</v>
      </c>
      <c r="AJ159" s="1169">
        <f t="shared" si="2"/>
        <v>0</v>
      </c>
    </row>
    <row r="160" spans="1:36" ht="15" thickBot="1">
      <c r="A160" s="248"/>
      <c r="B160" s="248"/>
      <c r="C160" s="248"/>
      <c r="D160" s="248"/>
      <c r="E160" s="248"/>
      <c r="F160" s="248"/>
      <c r="G160" s="248"/>
      <c r="H160" s="248"/>
      <c r="I160" s="248"/>
      <c r="J160" s="210" t="s">
        <v>2018</v>
      </c>
      <c r="K160" s="1172" t="s">
        <v>246</v>
      </c>
      <c r="L160" s="1173"/>
      <c r="M160" s="1173"/>
      <c r="N160" s="1173"/>
      <c r="O160" s="1173"/>
      <c r="P160" s="1173"/>
      <c r="Q160" s="1173"/>
      <c r="R160" s="1173" t="s">
        <v>2488</v>
      </c>
      <c r="S160" s="1173">
        <f>NG_Y_PHB</f>
        <v>0.889</v>
      </c>
      <c r="T160" s="1173"/>
      <c r="U160" s="1173"/>
      <c r="V160" s="1173">
        <f>-NG_f_P.REL</f>
        <v>-0.52</v>
      </c>
      <c r="W160" s="1173"/>
      <c r="X160" s="1173">
        <f>NG_f_P.REL</f>
        <v>0.52</v>
      </c>
      <c r="Y160" s="1173"/>
      <c r="Z160" s="1173"/>
      <c r="AA160" s="1173"/>
      <c r="AB160" s="1173"/>
      <c r="AC160" s="1173"/>
      <c r="AD160" s="1173"/>
      <c r="AE160" s="1173"/>
      <c r="AF160" s="1174">
        <f>(1-NG_Y_PHB)/NG_i_COD_H2</f>
        <v>0.013874999999999998</v>
      </c>
      <c r="AG160" s="1145"/>
      <c r="AH160" s="1175">
        <f t="shared" si="2"/>
        <v>0</v>
      </c>
      <c r="AI160" s="1176">
        <f t="shared" si="2"/>
        <v>0</v>
      </c>
      <c r="AJ160" s="1177">
        <f t="shared" si="2"/>
        <v>0</v>
      </c>
    </row>
    <row r="161" spans="1:36" ht="14.25">
      <c r="A161" s="248"/>
      <c r="B161" s="248"/>
      <c r="C161" s="248"/>
      <c r="D161" s="248"/>
      <c r="E161" s="248"/>
      <c r="F161" s="248"/>
      <c r="G161" s="248"/>
      <c r="H161" s="248"/>
      <c r="I161" s="248"/>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248"/>
    </row>
    <row r="162" spans="1:36" ht="15" thickBot="1">
      <c r="A162" s="248"/>
      <c r="B162" s="248"/>
      <c r="C162" s="248"/>
      <c r="D162" s="248"/>
      <c r="E162" s="248"/>
      <c r="F162" s="248"/>
      <c r="G162" s="248"/>
      <c r="H162" s="248"/>
      <c r="I162" s="248"/>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248"/>
    </row>
    <row r="163" spans="1:36" ht="30.75" thickBot="1">
      <c r="A163" s="248"/>
      <c r="B163" s="248"/>
      <c r="C163" s="248"/>
      <c r="D163" s="248"/>
      <c r="E163" s="248"/>
      <c r="F163" s="248"/>
      <c r="G163" s="248"/>
      <c r="H163" s="248"/>
      <c r="I163" s="248"/>
      <c r="J163" s="1331" t="s">
        <v>2421</v>
      </c>
      <c r="K163" s="1332"/>
      <c r="L163" s="1332"/>
      <c r="M163" s="1332"/>
      <c r="N163" s="1332"/>
      <c r="O163" s="1332"/>
      <c r="P163" s="1332"/>
      <c r="Q163" s="1332"/>
      <c r="R163" s="1332"/>
      <c r="S163" s="1332"/>
      <c r="T163" s="1332"/>
      <c r="U163" s="1332"/>
      <c r="V163" s="1332"/>
      <c r="W163" s="1332"/>
      <c r="X163" s="1332"/>
      <c r="Y163" s="1332"/>
      <c r="Z163" s="1332"/>
      <c r="AA163" s="1332"/>
      <c r="AB163" s="1332"/>
      <c r="AC163" s="1332"/>
      <c r="AD163" s="1332"/>
      <c r="AE163" s="1332"/>
      <c r="AF163" s="1332"/>
      <c r="AG163" s="1332"/>
      <c r="AH163" s="1332"/>
      <c r="AI163" s="1332"/>
      <c r="AJ163" s="1333"/>
    </row>
    <row r="164" spans="1:36" ht="14.25">
      <c r="A164" s="248"/>
      <c r="B164" s="248"/>
      <c r="C164" s="248"/>
      <c r="D164" s="248"/>
      <c r="E164" s="248"/>
      <c r="F164" s="248"/>
      <c r="G164" s="248"/>
      <c r="H164" s="248"/>
      <c r="I164" s="248"/>
      <c r="J164" s="8"/>
      <c r="K164" s="8"/>
      <c r="L164" s="8"/>
      <c r="M164" s="8"/>
      <c r="N164" s="8"/>
      <c r="O164" s="8"/>
      <c r="P164" s="8"/>
      <c r="Q164" s="8"/>
      <c r="R164" s="8"/>
      <c r="S164" s="8"/>
      <c r="T164" s="8"/>
      <c r="U164" s="8"/>
      <c r="V164" s="8"/>
      <c r="W164" s="8"/>
      <c r="X164" s="8"/>
      <c r="Y164" s="9"/>
      <c r="Z164" s="9"/>
      <c r="AA164" s="9"/>
      <c r="AB164" s="9"/>
      <c r="AC164" s="9"/>
      <c r="AD164" s="9"/>
      <c r="AE164" s="9"/>
      <c r="AF164" s="9"/>
      <c r="AG164" s="9"/>
      <c r="AH164" s="9"/>
      <c r="AI164" s="9"/>
      <c r="AJ164" s="248"/>
    </row>
    <row r="165" spans="1:36" ht="18.75" thickBot="1">
      <c r="A165" s="248"/>
      <c r="B165" s="248"/>
      <c r="C165" s="248"/>
      <c r="D165" s="248"/>
      <c r="E165" s="248"/>
      <c r="F165" s="248"/>
      <c r="G165" s="248"/>
      <c r="H165" s="248"/>
      <c r="I165" s="248"/>
      <c r="J165" s="8"/>
      <c r="K165" s="8"/>
      <c r="L165" s="8"/>
      <c r="M165" s="1334" t="s">
        <v>2422</v>
      </c>
      <c r="N165" s="1334"/>
      <c r="O165" s="1334"/>
      <c r="P165" s="1334"/>
      <c r="Q165" s="1334"/>
      <c r="R165" s="1334"/>
      <c r="S165" s="1334" t="s">
        <v>2423</v>
      </c>
      <c r="T165" s="1334"/>
      <c r="U165" s="1334"/>
      <c r="V165" s="1334"/>
      <c r="W165" s="1334"/>
      <c r="X165" s="8"/>
      <c r="Y165" s="9"/>
      <c r="Z165" s="9"/>
      <c r="AA165" s="9"/>
      <c r="AB165" s="9"/>
      <c r="AC165" s="9"/>
      <c r="AD165" s="9"/>
      <c r="AE165" s="9"/>
      <c r="AF165" s="9"/>
      <c r="AG165" s="9"/>
      <c r="AH165" s="9"/>
      <c r="AI165" s="9"/>
      <c r="AJ165" s="248"/>
    </row>
    <row r="166" spans="1:36" ht="15" thickBot="1">
      <c r="A166" s="248"/>
      <c r="B166" s="248"/>
      <c r="C166" s="248"/>
      <c r="D166" s="248"/>
      <c r="E166" s="248"/>
      <c r="F166" s="248"/>
      <c r="G166" s="248"/>
      <c r="H166" s="248"/>
      <c r="I166" s="248"/>
      <c r="J166" s="8"/>
      <c r="K166" s="8"/>
      <c r="L166" s="221"/>
      <c r="M166" s="1328" t="s">
        <v>2424</v>
      </c>
      <c r="N166" s="1329"/>
      <c r="O166" s="1329"/>
      <c r="P166" s="1329"/>
      <c r="Q166" s="1329"/>
      <c r="R166" s="1329"/>
      <c r="S166" s="1329" t="s">
        <v>2425</v>
      </c>
      <c r="T166" s="1329"/>
      <c r="U166" s="1329"/>
      <c r="V166" s="1329"/>
      <c r="W166" s="1329"/>
      <c r="X166" s="8"/>
      <c r="Y166" s="9"/>
      <c r="Z166" s="9"/>
      <c r="AA166" s="9"/>
      <c r="AB166" s="9"/>
      <c r="AC166" s="9"/>
      <c r="AD166" s="9"/>
      <c r="AE166" s="9"/>
      <c r="AF166" s="9"/>
      <c r="AG166" s="9"/>
      <c r="AH166" s="9"/>
      <c r="AI166" s="9"/>
      <c r="AJ166" s="248"/>
    </row>
    <row r="167" spans="1:36" ht="15" thickBot="1">
      <c r="A167" s="248"/>
      <c r="B167" s="248"/>
      <c r="C167" s="248"/>
      <c r="D167" s="248"/>
      <c r="E167" s="248"/>
      <c r="F167" s="248"/>
      <c r="G167" s="248"/>
      <c r="H167" s="248"/>
      <c r="I167" s="248"/>
      <c r="J167" s="8"/>
      <c r="K167" s="8"/>
      <c r="L167" s="222"/>
      <c r="M167" s="1328" t="s">
        <v>2426</v>
      </c>
      <c r="N167" s="1329"/>
      <c r="O167" s="1329"/>
      <c r="P167" s="1329"/>
      <c r="Q167" s="1329"/>
      <c r="R167" s="1329"/>
      <c r="S167" s="1329" t="s">
        <v>2427</v>
      </c>
      <c r="T167" s="1329"/>
      <c r="U167" s="1329"/>
      <c r="V167" s="1329"/>
      <c r="W167" s="1329"/>
      <c r="X167" s="8"/>
      <c r="Y167" s="9"/>
      <c r="Z167" s="9"/>
      <c r="AA167" s="9"/>
      <c r="AB167" s="9"/>
      <c r="AC167" s="9"/>
      <c r="AD167" s="9"/>
      <c r="AE167" s="9"/>
      <c r="AF167" s="9"/>
      <c r="AG167" s="9"/>
      <c r="AH167" s="9"/>
      <c r="AI167" s="9"/>
      <c r="AJ167" s="248"/>
    </row>
    <row r="168" spans="1:36" ht="15" thickBot="1">
      <c r="A168" s="248"/>
      <c r="B168" s="248"/>
      <c r="C168" s="248"/>
      <c r="D168" s="248"/>
      <c r="E168" s="248"/>
      <c r="F168" s="248"/>
      <c r="G168" s="248"/>
      <c r="H168" s="248"/>
      <c r="I168" s="248"/>
      <c r="J168" s="8"/>
      <c r="K168" s="8"/>
      <c r="L168" s="223"/>
      <c r="M168" s="1328" t="s">
        <v>2428</v>
      </c>
      <c r="N168" s="1329"/>
      <c r="O168" s="1329"/>
      <c r="P168" s="1329"/>
      <c r="Q168" s="1329"/>
      <c r="R168" s="1329"/>
      <c r="S168" s="1329" t="s">
        <v>2425</v>
      </c>
      <c r="T168" s="1329"/>
      <c r="U168" s="1329"/>
      <c r="V168" s="1329"/>
      <c r="W168" s="1329"/>
      <c r="X168" s="8"/>
      <c r="Y168" s="9"/>
      <c r="Z168" s="9"/>
      <c r="AA168" s="9"/>
      <c r="AB168" s="9"/>
      <c r="AC168" s="9"/>
      <c r="AD168" s="9"/>
      <c r="AE168" s="9"/>
      <c r="AF168" s="9"/>
      <c r="AG168" s="9"/>
      <c r="AH168" s="9"/>
      <c r="AI168" s="9"/>
      <c r="AJ168" s="248"/>
    </row>
    <row r="169" spans="1:36" ht="15" thickBot="1">
      <c r="A169" s="248"/>
      <c r="B169" s="248"/>
      <c r="C169" s="248"/>
      <c r="D169" s="248"/>
      <c r="E169" s="248"/>
      <c r="F169" s="248"/>
      <c r="G169" s="248"/>
      <c r="H169" s="248"/>
      <c r="I169" s="248"/>
      <c r="J169" s="8"/>
      <c r="K169" s="8"/>
      <c r="L169" s="224"/>
      <c r="M169" s="1328" t="s">
        <v>2429</v>
      </c>
      <c r="N169" s="1329"/>
      <c r="O169" s="1329"/>
      <c r="P169" s="1329"/>
      <c r="Q169" s="1329"/>
      <c r="R169" s="1329"/>
      <c r="S169" s="1329" t="s">
        <v>2430</v>
      </c>
      <c r="T169" s="1329"/>
      <c r="U169" s="1329"/>
      <c r="V169" s="1329"/>
      <c r="W169" s="1329"/>
      <c r="X169" s="8"/>
      <c r="Y169" s="9"/>
      <c r="Z169" s="9"/>
      <c r="AA169" s="9"/>
      <c r="AB169" s="9"/>
      <c r="AC169" s="9"/>
      <c r="AD169" s="9"/>
      <c r="AE169" s="9"/>
      <c r="AF169" s="9"/>
      <c r="AG169" s="9"/>
      <c r="AH169" s="9"/>
      <c r="AI169" s="9"/>
      <c r="AJ169" s="248"/>
    </row>
    <row r="170" spans="1:36" ht="15" thickBot="1">
      <c r="A170" s="248"/>
      <c r="B170" s="248"/>
      <c r="C170" s="248"/>
      <c r="D170" s="248"/>
      <c r="E170" s="248"/>
      <c r="F170" s="248"/>
      <c r="G170" s="248"/>
      <c r="H170" s="248"/>
      <c r="I170" s="248"/>
      <c r="J170" s="8"/>
      <c r="K170" s="8"/>
      <c r="L170" s="8"/>
      <c r="M170" s="8"/>
      <c r="N170" s="8"/>
      <c r="O170" s="8"/>
      <c r="P170" s="8"/>
      <c r="Q170" s="8"/>
      <c r="R170" s="8"/>
      <c r="S170" s="8"/>
      <c r="T170" s="8"/>
      <c r="U170" s="8"/>
      <c r="V170" s="8"/>
      <c r="W170" s="8"/>
      <c r="X170" s="8"/>
      <c r="Y170" s="9"/>
      <c r="Z170" s="9"/>
      <c r="AA170" s="9"/>
      <c r="AB170" s="9"/>
      <c r="AC170" s="9"/>
      <c r="AD170" s="9"/>
      <c r="AE170" s="9"/>
      <c r="AF170" s="9"/>
      <c r="AG170" s="9"/>
      <c r="AH170" s="9"/>
      <c r="AI170" s="9"/>
      <c r="AJ170" s="248"/>
    </row>
    <row r="171" spans="1:36" ht="45">
      <c r="A171" s="248"/>
      <c r="B171" s="248"/>
      <c r="C171" s="248"/>
      <c r="D171" s="248"/>
      <c r="E171" s="248"/>
      <c r="F171" s="248"/>
      <c r="G171" s="248"/>
      <c r="H171" s="248"/>
      <c r="I171" s="248"/>
      <c r="J171" s="1178" t="s">
        <v>1606</v>
      </c>
      <c r="K171" s="1179"/>
      <c r="L171" s="1179" t="s">
        <v>1607</v>
      </c>
      <c r="M171" s="1179" t="s">
        <v>1608</v>
      </c>
      <c r="N171" s="1179" t="s">
        <v>1609</v>
      </c>
      <c r="O171" s="1179" t="s">
        <v>1610</v>
      </c>
      <c r="P171" s="1179" t="s">
        <v>1611</v>
      </c>
      <c r="Q171" s="1179" t="s">
        <v>1612</v>
      </c>
      <c r="R171" s="1179" t="s">
        <v>1613</v>
      </c>
      <c r="S171" s="1179" t="s">
        <v>1614</v>
      </c>
      <c r="T171" s="1179" t="s">
        <v>1615</v>
      </c>
      <c r="U171" s="1179" t="s">
        <v>1616</v>
      </c>
      <c r="V171" s="1179" t="s">
        <v>1617</v>
      </c>
      <c r="W171" s="1179" t="s">
        <v>1618</v>
      </c>
      <c r="X171" s="1179" t="s">
        <v>1619</v>
      </c>
      <c r="Y171" s="1179" t="s">
        <v>1620</v>
      </c>
      <c r="Z171" s="1179" t="s">
        <v>1621</v>
      </c>
      <c r="AA171" s="1179" t="s">
        <v>1622</v>
      </c>
      <c r="AB171" s="1179" t="s">
        <v>1623</v>
      </c>
      <c r="AC171" s="1179" t="s">
        <v>1624</v>
      </c>
      <c r="AD171" s="1179" t="s">
        <v>1625</v>
      </c>
      <c r="AE171" s="1179" t="s">
        <v>1905</v>
      </c>
      <c r="AF171" s="1180" t="s">
        <v>1626</v>
      </c>
      <c r="AG171" s="9"/>
      <c r="AH171" s="9"/>
      <c r="AI171" s="9"/>
      <c r="AJ171" s="248"/>
    </row>
    <row r="172" spans="1:36" ht="15.75">
      <c r="A172" s="248"/>
      <c r="B172" s="248"/>
      <c r="C172" s="248"/>
      <c r="D172" s="248"/>
      <c r="E172" s="248"/>
      <c r="F172" s="248"/>
      <c r="G172" s="248"/>
      <c r="H172" s="248"/>
      <c r="I172" s="248"/>
      <c r="J172" s="1181">
        <v>1</v>
      </c>
      <c r="K172" s="1161" t="s">
        <v>408</v>
      </c>
      <c r="L172" s="1182"/>
      <c r="M172" s="1183"/>
      <c r="N172" s="1183"/>
      <c r="O172" s="1183"/>
      <c r="P172" s="1183"/>
      <c r="Q172" s="1184"/>
      <c r="R172" s="1183"/>
      <c r="S172" s="1183"/>
      <c r="T172" s="1183"/>
      <c r="U172" s="1183"/>
      <c r="V172" s="1183"/>
      <c r="W172" s="1183"/>
      <c r="X172" s="1184"/>
      <c r="Y172" s="1183"/>
      <c r="Z172" s="1183"/>
      <c r="AA172" s="1183"/>
      <c r="AB172" s="1184"/>
      <c r="AC172" s="1183"/>
      <c r="AD172" s="1184"/>
      <c r="AE172" s="1183"/>
      <c r="AF172" s="1185"/>
      <c r="AG172" s="9"/>
      <c r="AH172" s="9"/>
      <c r="AI172" s="9"/>
      <c r="AJ172" s="248"/>
    </row>
    <row r="173" spans="1:36" ht="15.75">
      <c r="A173" s="248"/>
      <c r="B173" s="248"/>
      <c r="C173" s="248"/>
      <c r="D173" s="248"/>
      <c r="E173" s="248"/>
      <c r="F173" s="248"/>
      <c r="G173" s="248"/>
      <c r="H173" s="248"/>
      <c r="I173" s="248"/>
      <c r="J173" s="1181">
        <v>2</v>
      </c>
      <c r="K173" s="1161" t="s">
        <v>409</v>
      </c>
      <c r="L173" s="1182"/>
      <c r="M173" s="1183"/>
      <c r="N173" s="1183"/>
      <c r="O173" s="1183"/>
      <c r="P173" s="1183"/>
      <c r="Q173" s="1184"/>
      <c r="R173" s="1183"/>
      <c r="S173" s="1183"/>
      <c r="T173" s="1183"/>
      <c r="U173" s="1183"/>
      <c r="V173" s="1183"/>
      <c r="W173" s="1183"/>
      <c r="X173" s="1184"/>
      <c r="Y173" s="1183"/>
      <c r="Z173" s="1183"/>
      <c r="AA173" s="1184"/>
      <c r="AB173" s="1184"/>
      <c r="AC173" s="1183"/>
      <c r="AD173" s="1186"/>
      <c r="AE173" s="1183"/>
      <c r="AF173" s="1185"/>
      <c r="AG173" s="9"/>
      <c r="AH173" s="9"/>
      <c r="AI173" s="9"/>
      <c r="AJ173" s="248"/>
    </row>
    <row r="174" spans="1:36" ht="15.75">
      <c r="A174" s="248"/>
      <c r="B174" s="248"/>
      <c r="C174" s="248"/>
      <c r="D174" s="248"/>
      <c r="E174" s="248"/>
      <c r="F174" s="248"/>
      <c r="G174" s="248"/>
      <c r="H174" s="248"/>
      <c r="I174" s="248"/>
      <c r="J174" s="1181" t="s">
        <v>2475</v>
      </c>
      <c r="K174" s="1161" t="s">
        <v>410</v>
      </c>
      <c r="L174" s="1182"/>
      <c r="M174" s="1183"/>
      <c r="N174" s="1183"/>
      <c r="O174" s="1183"/>
      <c r="P174" s="1183"/>
      <c r="Q174" s="1184"/>
      <c r="R174" s="1183"/>
      <c r="S174" s="1183"/>
      <c r="T174" s="1183"/>
      <c r="U174" s="1183"/>
      <c r="V174" s="1183"/>
      <c r="W174" s="1183"/>
      <c r="X174" s="1184"/>
      <c r="Y174" s="1183"/>
      <c r="Z174" s="1183"/>
      <c r="AA174" s="1184"/>
      <c r="AB174" s="1186"/>
      <c r="AC174" s="1183"/>
      <c r="AD174" s="1184"/>
      <c r="AE174" s="1183"/>
      <c r="AF174" s="1185"/>
      <c r="AG174" s="9"/>
      <c r="AH174" s="9"/>
      <c r="AI174" s="9"/>
      <c r="AJ174" s="248"/>
    </row>
    <row r="175" spans="1:36" ht="15.75">
      <c r="A175" s="248"/>
      <c r="B175" s="248"/>
      <c r="C175" s="248"/>
      <c r="D175" s="248"/>
      <c r="E175" s="248"/>
      <c r="F175" s="248"/>
      <c r="G175" s="248"/>
      <c r="H175" s="248"/>
      <c r="I175" s="248"/>
      <c r="J175" s="1181">
        <v>4</v>
      </c>
      <c r="K175" s="1161" t="s">
        <v>411</v>
      </c>
      <c r="L175" s="1182"/>
      <c r="M175" s="1183"/>
      <c r="N175" s="1183"/>
      <c r="O175" s="1183"/>
      <c r="P175" s="1183"/>
      <c r="Q175" s="1184"/>
      <c r="R175" s="1183"/>
      <c r="S175" s="1183"/>
      <c r="T175" s="1183"/>
      <c r="U175" s="1183"/>
      <c r="V175" s="1183"/>
      <c r="W175" s="1183"/>
      <c r="X175" s="1184"/>
      <c r="Y175" s="1183"/>
      <c r="Z175" s="1183"/>
      <c r="AA175" s="1184"/>
      <c r="AB175" s="1186"/>
      <c r="AC175" s="1183"/>
      <c r="AD175" s="1186"/>
      <c r="AE175" s="1183"/>
      <c r="AF175" s="1185"/>
      <c r="AG175" s="9"/>
      <c r="AH175" s="9"/>
      <c r="AI175" s="9"/>
      <c r="AJ175" s="248"/>
    </row>
    <row r="176" spans="1:36" ht="15.75">
      <c r="A176" s="248"/>
      <c r="B176" s="248"/>
      <c r="C176" s="248"/>
      <c r="D176" s="248"/>
      <c r="E176" s="248"/>
      <c r="F176" s="248"/>
      <c r="G176" s="248"/>
      <c r="H176" s="248"/>
      <c r="I176" s="248"/>
      <c r="J176" s="1181" t="s">
        <v>2479</v>
      </c>
      <c r="K176" s="1161" t="s">
        <v>412</v>
      </c>
      <c r="L176" s="1182"/>
      <c r="M176" s="1183"/>
      <c r="N176" s="1183"/>
      <c r="O176" s="1183"/>
      <c r="P176" s="1183"/>
      <c r="Q176" s="1183"/>
      <c r="R176" s="1184"/>
      <c r="S176" s="1183"/>
      <c r="T176" s="1183"/>
      <c r="U176" s="1183"/>
      <c r="V176" s="1183"/>
      <c r="W176" s="1183"/>
      <c r="X176" s="1184"/>
      <c r="Y176" s="1183"/>
      <c r="Z176" s="1183"/>
      <c r="AA176" s="1183"/>
      <c r="AB176" s="1184"/>
      <c r="AC176" s="1183"/>
      <c r="AD176" s="1184"/>
      <c r="AE176" s="1183"/>
      <c r="AF176" s="1185"/>
      <c r="AG176" s="9"/>
      <c r="AH176" s="9"/>
      <c r="AI176" s="9"/>
      <c r="AJ176" s="248"/>
    </row>
    <row r="177" spans="1:36" ht="15.75">
      <c r="A177" s="248"/>
      <c r="B177" s="248"/>
      <c r="C177" s="248"/>
      <c r="D177" s="248"/>
      <c r="E177" s="248"/>
      <c r="F177" s="248"/>
      <c r="G177" s="248"/>
      <c r="H177" s="248"/>
      <c r="I177" s="248"/>
      <c r="J177" s="1181">
        <v>6</v>
      </c>
      <c r="K177" s="1161" t="s">
        <v>413</v>
      </c>
      <c r="L177" s="1182"/>
      <c r="M177" s="1183"/>
      <c r="N177" s="1183"/>
      <c r="O177" s="1183"/>
      <c r="P177" s="1183"/>
      <c r="Q177" s="1183"/>
      <c r="R177" s="1184"/>
      <c r="S177" s="1183"/>
      <c r="T177" s="1183"/>
      <c r="U177" s="1183"/>
      <c r="V177" s="1183"/>
      <c r="W177" s="1183"/>
      <c r="X177" s="1184"/>
      <c r="Y177" s="1183"/>
      <c r="Z177" s="1183"/>
      <c r="AA177" s="1184"/>
      <c r="AB177" s="1184"/>
      <c r="AC177" s="1183"/>
      <c r="AD177" s="1186"/>
      <c r="AE177" s="1183"/>
      <c r="AF177" s="1185"/>
      <c r="AG177" s="9"/>
      <c r="AH177" s="9"/>
      <c r="AI177" s="9"/>
      <c r="AJ177" s="248"/>
    </row>
    <row r="178" spans="1:36" ht="15.75">
      <c r="A178" s="248"/>
      <c r="B178" s="248"/>
      <c r="C178" s="248"/>
      <c r="D178" s="248"/>
      <c r="E178" s="248"/>
      <c r="F178" s="248"/>
      <c r="G178" s="248"/>
      <c r="H178" s="248"/>
      <c r="I178" s="248"/>
      <c r="J178" s="1181" t="s">
        <v>2484</v>
      </c>
      <c r="K178" s="1161" t="s">
        <v>414</v>
      </c>
      <c r="L178" s="1182"/>
      <c r="M178" s="1183"/>
      <c r="N178" s="1183"/>
      <c r="O178" s="1183"/>
      <c r="P178" s="1183"/>
      <c r="Q178" s="1183"/>
      <c r="R178" s="1184"/>
      <c r="S178" s="1183"/>
      <c r="T178" s="1183"/>
      <c r="U178" s="1183"/>
      <c r="V178" s="1183"/>
      <c r="W178" s="1183"/>
      <c r="X178" s="1184"/>
      <c r="Y178" s="1183"/>
      <c r="Z178" s="1183"/>
      <c r="AA178" s="1184"/>
      <c r="AB178" s="1186"/>
      <c r="AC178" s="1183"/>
      <c r="AD178" s="1184"/>
      <c r="AE178" s="1183"/>
      <c r="AF178" s="1185"/>
      <c r="AG178" s="9"/>
      <c r="AH178" s="9"/>
      <c r="AI178" s="9"/>
      <c r="AJ178" s="248"/>
    </row>
    <row r="179" spans="1:36" ht="15.75">
      <c r="A179" s="248"/>
      <c r="B179" s="248"/>
      <c r="C179" s="248"/>
      <c r="D179" s="248"/>
      <c r="E179" s="248"/>
      <c r="F179" s="248"/>
      <c r="G179" s="248"/>
      <c r="H179" s="248"/>
      <c r="I179" s="248"/>
      <c r="J179" s="1181">
        <v>8</v>
      </c>
      <c r="K179" s="1161" t="s">
        <v>415</v>
      </c>
      <c r="L179" s="1182"/>
      <c r="M179" s="1183"/>
      <c r="N179" s="1183"/>
      <c r="O179" s="1183"/>
      <c r="P179" s="1183"/>
      <c r="Q179" s="1183"/>
      <c r="R179" s="1184"/>
      <c r="S179" s="1183"/>
      <c r="T179" s="1183"/>
      <c r="U179" s="1183"/>
      <c r="V179" s="1183"/>
      <c r="W179" s="1183"/>
      <c r="X179" s="1184"/>
      <c r="Y179" s="1183"/>
      <c r="Z179" s="1183"/>
      <c r="AA179" s="1184"/>
      <c r="AB179" s="1186"/>
      <c r="AC179" s="1183"/>
      <c r="AD179" s="1186"/>
      <c r="AE179" s="1183"/>
      <c r="AF179" s="1185"/>
      <c r="AG179" s="9"/>
      <c r="AH179" s="9"/>
      <c r="AI179" s="9"/>
      <c r="AJ179" s="248"/>
    </row>
    <row r="180" spans="1:36" ht="15.75">
      <c r="A180" s="248"/>
      <c r="B180" s="248"/>
      <c r="C180" s="248"/>
      <c r="D180" s="248"/>
      <c r="E180" s="248"/>
      <c r="F180" s="248"/>
      <c r="G180" s="248"/>
      <c r="H180" s="248"/>
      <c r="I180" s="248"/>
      <c r="J180" s="1181" t="s">
        <v>2493</v>
      </c>
      <c r="K180" s="1161" t="s">
        <v>416</v>
      </c>
      <c r="L180" s="1182"/>
      <c r="M180" s="1183"/>
      <c r="N180" s="1183"/>
      <c r="O180" s="1183"/>
      <c r="P180" s="1183"/>
      <c r="Q180" s="1183"/>
      <c r="R180" s="1183"/>
      <c r="S180" s="1183"/>
      <c r="T180" s="1183"/>
      <c r="U180" s="1183"/>
      <c r="V180" s="1183"/>
      <c r="W180" s="1183"/>
      <c r="X180" s="1183"/>
      <c r="Y180" s="1183"/>
      <c r="Z180" s="1183"/>
      <c r="AA180" s="1183"/>
      <c r="AB180" s="1183"/>
      <c r="AC180" s="1183"/>
      <c r="AD180" s="1183"/>
      <c r="AE180" s="1183"/>
      <c r="AF180" s="1185"/>
      <c r="AG180" s="9"/>
      <c r="AH180" s="9"/>
      <c r="AI180" s="9"/>
      <c r="AJ180" s="248"/>
    </row>
    <row r="181" spans="1:36" ht="15.75">
      <c r="A181" s="248"/>
      <c r="B181" s="248"/>
      <c r="C181" s="248"/>
      <c r="D181" s="248"/>
      <c r="E181" s="248"/>
      <c r="F181" s="248"/>
      <c r="G181" s="248"/>
      <c r="H181" s="248"/>
      <c r="I181" s="248"/>
      <c r="J181" s="1181" t="s">
        <v>2499</v>
      </c>
      <c r="K181" s="1161" t="s">
        <v>417</v>
      </c>
      <c r="L181" s="1182"/>
      <c r="M181" s="1183"/>
      <c r="N181" s="1183"/>
      <c r="O181" s="1183"/>
      <c r="P181" s="1184"/>
      <c r="Q181" s="1183"/>
      <c r="R181" s="1183"/>
      <c r="S181" s="1183"/>
      <c r="T181" s="1183"/>
      <c r="U181" s="1183"/>
      <c r="V181" s="1183"/>
      <c r="W181" s="1183"/>
      <c r="X181" s="1183"/>
      <c r="Y181" s="1183"/>
      <c r="Z181" s="1183"/>
      <c r="AA181" s="1183"/>
      <c r="AB181" s="1183"/>
      <c r="AC181" s="1183"/>
      <c r="AD181" s="1187"/>
      <c r="AE181" s="1183"/>
      <c r="AF181" s="1185"/>
      <c r="AG181" s="9"/>
      <c r="AH181" s="9"/>
      <c r="AI181" s="9"/>
      <c r="AJ181" s="248"/>
    </row>
    <row r="182" spans="1:36" ht="15.75">
      <c r="A182" s="248"/>
      <c r="B182" s="248"/>
      <c r="C182" s="248"/>
      <c r="D182" s="248"/>
      <c r="E182" s="248"/>
      <c r="F182" s="248"/>
      <c r="G182" s="248"/>
      <c r="H182" s="248"/>
      <c r="I182" s="248"/>
      <c r="J182" s="1181" t="s">
        <v>2502</v>
      </c>
      <c r="K182" s="1161" t="s">
        <v>418</v>
      </c>
      <c r="L182" s="1182"/>
      <c r="M182" s="1183"/>
      <c r="N182" s="1183"/>
      <c r="O182" s="1183"/>
      <c r="P182" s="1184"/>
      <c r="Q182" s="1183"/>
      <c r="R182" s="1183"/>
      <c r="S182" s="1183"/>
      <c r="T182" s="1183"/>
      <c r="U182" s="1183"/>
      <c r="V182" s="1183"/>
      <c r="W182" s="1183"/>
      <c r="X182" s="1183"/>
      <c r="Y182" s="1183"/>
      <c r="Z182" s="1183"/>
      <c r="AA182" s="1187"/>
      <c r="AB182" s="1183"/>
      <c r="AC182" s="1183"/>
      <c r="AD182" s="1186"/>
      <c r="AE182" s="1183"/>
      <c r="AF182" s="1185"/>
      <c r="AG182" s="9"/>
      <c r="AH182" s="9"/>
      <c r="AI182" s="9"/>
      <c r="AJ182" s="248"/>
    </row>
    <row r="183" spans="1:36" ht="15.75">
      <c r="A183" s="248"/>
      <c r="B183" s="248"/>
      <c r="C183" s="248"/>
      <c r="D183" s="248"/>
      <c r="E183" s="248"/>
      <c r="F183" s="248"/>
      <c r="G183" s="248"/>
      <c r="H183" s="248"/>
      <c r="I183" s="248"/>
      <c r="J183" s="1181" t="s">
        <v>2082</v>
      </c>
      <c r="K183" s="1161" t="s">
        <v>419</v>
      </c>
      <c r="L183" s="1182"/>
      <c r="M183" s="1183"/>
      <c r="N183" s="1183"/>
      <c r="O183" s="1183"/>
      <c r="P183" s="1184"/>
      <c r="Q183" s="1183"/>
      <c r="R183" s="1183"/>
      <c r="S183" s="1183"/>
      <c r="T183" s="1183"/>
      <c r="U183" s="1183"/>
      <c r="V183" s="1183"/>
      <c r="W183" s="1183"/>
      <c r="X183" s="1183"/>
      <c r="Y183" s="1183"/>
      <c r="Z183" s="1183"/>
      <c r="AA183" s="1186"/>
      <c r="AB183" s="1183"/>
      <c r="AC183" s="1183"/>
      <c r="AD183" s="1186"/>
      <c r="AE183" s="1183"/>
      <c r="AF183" s="1185"/>
      <c r="AG183" s="9"/>
      <c r="AH183" s="9"/>
      <c r="AI183" s="9"/>
      <c r="AJ183" s="248"/>
    </row>
    <row r="184" spans="1:36" ht="15">
      <c r="A184" s="248"/>
      <c r="B184" s="248"/>
      <c r="C184" s="248"/>
      <c r="D184" s="248"/>
      <c r="E184" s="248"/>
      <c r="F184" s="248"/>
      <c r="G184" s="248"/>
      <c r="H184" s="248"/>
      <c r="I184" s="248"/>
      <c r="J184" s="1181" t="s">
        <v>2234</v>
      </c>
      <c r="K184" s="1161" t="s">
        <v>1960</v>
      </c>
      <c r="L184" s="1182"/>
      <c r="M184" s="1183"/>
      <c r="N184" s="1183"/>
      <c r="O184" s="1183"/>
      <c r="P184" s="1184"/>
      <c r="Q184" s="1183"/>
      <c r="R184" s="1183"/>
      <c r="S184" s="1183"/>
      <c r="T184" s="1183"/>
      <c r="U184" s="1183"/>
      <c r="V184" s="1183"/>
      <c r="W184" s="1183"/>
      <c r="X184" s="1183"/>
      <c r="Y184" s="1184"/>
      <c r="Z184" s="1183"/>
      <c r="AA184" s="1188"/>
      <c r="AB184" s="1189"/>
      <c r="AC184" s="1189"/>
      <c r="AD184" s="1188"/>
      <c r="AE184" s="1183"/>
      <c r="AF184" s="1185"/>
      <c r="AG184" s="9"/>
      <c r="AH184" s="9"/>
      <c r="AI184" s="9"/>
      <c r="AJ184" s="248"/>
    </row>
    <row r="185" spans="1:36" ht="15">
      <c r="A185" s="248"/>
      <c r="B185" s="248"/>
      <c r="C185" s="248"/>
      <c r="D185" s="248"/>
      <c r="E185" s="248"/>
      <c r="F185" s="248"/>
      <c r="G185" s="248"/>
      <c r="H185" s="248"/>
      <c r="I185" s="248"/>
      <c r="J185" s="1181" t="s">
        <v>2237</v>
      </c>
      <c r="K185" s="1161" t="s">
        <v>1962</v>
      </c>
      <c r="L185" s="1182"/>
      <c r="M185" s="1183"/>
      <c r="N185" s="1182"/>
      <c r="O185" s="1183"/>
      <c r="P185" s="1183"/>
      <c r="Q185" s="1183"/>
      <c r="R185" s="1183"/>
      <c r="S185" s="1183"/>
      <c r="T185" s="1183"/>
      <c r="U185" s="1183"/>
      <c r="V185" s="1183"/>
      <c r="W185" s="1183"/>
      <c r="X185" s="1183"/>
      <c r="Y185" s="1183"/>
      <c r="Z185" s="1184"/>
      <c r="AA185" s="1183"/>
      <c r="AB185" s="1183"/>
      <c r="AC185" s="1183"/>
      <c r="AD185" s="1183"/>
      <c r="AE185" s="1183"/>
      <c r="AF185" s="1185"/>
      <c r="AG185" s="9"/>
      <c r="AH185" s="9"/>
      <c r="AI185" s="9"/>
      <c r="AJ185" s="248"/>
    </row>
    <row r="186" spans="1:36" ht="15.75">
      <c r="A186" s="248"/>
      <c r="B186" s="248"/>
      <c r="C186" s="248"/>
      <c r="D186" s="248"/>
      <c r="E186" s="248"/>
      <c r="F186" s="248"/>
      <c r="G186" s="248"/>
      <c r="H186" s="248"/>
      <c r="I186" s="248"/>
      <c r="J186" s="1181" t="s">
        <v>2241</v>
      </c>
      <c r="K186" s="1161" t="s">
        <v>420</v>
      </c>
      <c r="L186" s="1182"/>
      <c r="M186" s="1183"/>
      <c r="N186" s="1183"/>
      <c r="O186" s="1183"/>
      <c r="P186" s="1183"/>
      <c r="Q186" s="1184"/>
      <c r="R186" s="1183"/>
      <c r="S186" s="1183"/>
      <c r="T186" s="1183"/>
      <c r="U186" s="1183"/>
      <c r="V186" s="1183"/>
      <c r="W186" s="1183"/>
      <c r="X186" s="1184"/>
      <c r="Y186" s="1183"/>
      <c r="Z186" s="1183"/>
      <c r="AA186" s="1186"/>
      <c r="AB186" s="1184"/>
      <c r="AC186" s="1183"/>
      <c r="AD186" s="1186"/>
      <c r="AE186" s="1183"/>
      <c r="AF186" s="1185"/>
      <c r="AG186" s="9"/>
      <c r="AH186" s="9"/>
      <c r="AI186" s="9"/>
      <c r="AJ186" s="248"/>
    </row>
    <row r="187" spans="1:36" ht="15.75">
      <c r="A187" s="248"/>
      <c r="B187" s="248"/>
      <c r="C187" s="248"/>
      <c r="D187" s="248"/>
      <c r="E187" s="248"/>
      <c r="F187" s="248"/>
      <c r="G187" s="248"/>
      <c r="H187" s="248"/>
      <c r="I187" s="248"/>
      <c r="J187" s="1181" t="s">
        <v>2244</v>
      </c>
      <c r="K187" s="1161" t="s">
        <v>421</v>
      </c>
      <c r="L187" s="1183"/>
      <c r="M187" s="1182"/>
      <c r="N187" s="1183"/>
      <c r="O187" s="1183"/>
      <c r="P187" s="1183"/>
      <c r="Q187" s="1183"/>
      <c r="R187" s="1183"/>
      <c r="S187" s="1183"/>
      <c r="T187" s="1183"/>
      <c r="U187" s="1183"/>
      <c r="V187" s="1183"/>
      <c r="W187" s="1183"/>
      <c r="X187" s="1184"/>
      <c r="Y187" s="1183"/>
      <c r="Z187" s="1183"/>
      <c r="AA187" s="1183"/>
      <c r="AB187" s="1184"/>
      <c r="AC187" s="1183"/>
      <c r="AD187" s="1184"/>
      <c r="AE187" s="1183"/>
      <c r="AF187" s="1185"/>
      <c r="AG187" s="9"/>
      <c r="AH187" s="9"/>
      <c r="AI187" s="9"/>
      <c r="AJ187" s="248"/>
    </row>
    <row r="188" spans="1:36" ht="15.75">
      <c r="A188" s="248"/>
      <c r="B188" s="248"/>
      <c r="C188" s="248"/>
      <c r="D188" s="248"/>
      <c r="E188" s="248"/>
      <c r="F188" s="248"/>
      <c r="G188" s="248"/>
      <c r="H188" s="248"/>
      <c r="I188" s="248"/>
      <c r="J188" s="1181">
        <v>17</v>
      </c>
      <c r="K188" s="1161" t="s">
        <v>422</v>
      </c>
      <c r="L188" s="1183"/>
      <c r="M188" s="1182"/>
      <c r="N188" s="1183"/>
      <c r="O188" s="1183"/>
      <c r="P188" s="1183"/>
      <c r="Q188" s="1183"/>
      <c r="R188" s="1183"/>
      <c r="S188" s="1183"/>
      <c r="T188" s="1183"/>
      <c r="U188" s="1183"/>
      <c r="V188" s="1183"/>
      <c r="W188" s="1183"/>
      <c r="X188" s="1183"/>
      <c r="Y188" s="1183"/>
      <c r="Z188" s="1183"/>
      <c r="AA188" s="1183"/>
      <c r="AB188" s="1183"/>
      <c r="AC188" s="1183"/>
      <c r="AD188" s="1183"/>
      <c r="AE188" s="1183"/>
      <c r="AF188" s="1185"/>
      <c r="AG188" s="9"/>
      <c r="AH188" s="9"/>
      <c r="AI188" s="9"/>
      <c r="AJ188" s="248"/>
    </row>
    <row r="189" spans="1:36" ht="15.75">
      <c r="A189" s="248"/>
      <c r="B189" s="248"/>
      <c r="C189" s="248"/>
      <c r="D189" s="248"/>
      <c r="E189" s="248"/>
      <c r="F189" s="248"/>
      <c r="G189" s="248"/>
      <c r="H189" s="248"/>
      <c r="I189" s="248"/>
      <c r="J189" s="1181">
        <v>18</v>
      </c>
      <c r="K189" s="1161" t="s">
        <v>423</v>
      </c>
      <c r="L189" s="1183"/>
      <c r="M189" s="1183"/>
      <c r="N189" s="1182"/>
      <c r="O189" s="1183"/>
      <c r="P189" s="1183"/>
      <c r="Q189" s="1183"/>
      <c r="R189" s="1183"/>
      <c r="S189" s="1184"/>
      <c r="T189" s="1183"/>
      <c r="U189" s="1183"/>
      <c r="V189" s="1183"/>
      <c r="W189" s="1183"/>
      <c r="X189" s="1184"/>
      <c r="Y189" s="1183"/>
      <c r="Z189" s="1183"/>
      <c r="AA189" s="1183"/>
      <c r="AB189" s="1184"/>
      <c r="AC189" s="1183"/>
      <c r="AD189" s="1184"/>
      <c r="AE189" s="1183"/>
      <c r="AF189" s="1185"/>
      <c r="AG189" s="9"/>
      <c r="AH189" s="9"/>
      <c r="AI189" s="9"/>
      <c r="AJ189" s="248"/>
    </row>
    <row r="190" spans="1:36" ht="15.75">
      <c r="A190" s="248"/>
      <c r="B190" s="248"/>
      <c r="C190" s="248"/>
      <c r="D190" s="248"/>
      <c r="E190" s="248"/>
      <c r="F190" s="248"/>
      <c r="G190" s="248"/>
      <c r="H190" s="248"/>
      <c r="I190" s="248"/>
      <c r="J190" s="1181" t="s">
        <v>2252</v>
      </c>
      <c r="K190" s="1161" t="s">
        <v>424</v>
      </c>
      <c r="L190" s="1183"/>
      <c r="M190" s="1183"/>
      <c r="N190" s="1182"/>
      <c r="O190" s="1183"/>
      <c r="P190" s="1183"/>
      <c r="Q190" s="1183"/>
      <c r="R190" s="1183"/>
      <c r="S190" s="1184"/>
      <c r="T190" s="1183"/>
      <c r="U190" s="1183"/>
      <c r="V190" s="1183"/>
      <c r="W190" s="1183"/>
      <c r="X190" s="1184"/>
      <c r="Y190" s="1183"/>
      <c r="Z190" s="1183"/>
      <c r="AA190" s="1184"/>
      <c r="AB190" s="1186"/>
      <c r="AC190" s="1183"/>
      <c r="AD190" s="1184"/>
      <c r="AE190" s="1183"/>
      <c r="AF190" s="1185"/>
      <c r="AG190" s="9"/>
      <c r="AH190" s="9"/>
      <c r="AI190" s="9"/>
      <c r="AJ190" s="248"/>
    </row>
    <row r="191" spans="1:36" ht="31.5">
      <c r="A191" s="248"/>
      <c r="B191" s="248"/>
      <c r="C191" s="248"/>
      <c r="D191" s="248"/>
      <c r="E191" s="248"/>
      <c r="F191" s="248"/>
      <c r="G191" s="248"/>
      <c r="H191" s="248"/>
      <c r="I191" s="248"/>
      <c r="J191" s="1181" t="s">
        <v>2254</v>
      </c>
      <c r="K191" s="1161" t="s">
        <v>425</v>
      </c>
      <c r="L191" s="1183"/>
      <c r="M191" s="1183"/>
      <c r="N191" s="1182"/>
      <c r="O191" s="1183"/>
      <c r="P191" s="1183"/>
      <c r="Q191" s="1183"/>
      <c r="R191" s="1183"/>
      <c r="S191" s="1184"/>
      <c r="T191" s="1183"/>
      <c r="U191" s="1183"/>
      <c r="V191" s="1184"/>
      <c r="W191" s="1183"/>
      <c r="X191" s="1186"/>
      <c r="Y191" s="1183"/>
      <c r="Z191" s="1183"/>
      <c r="AA191" s="1183"/>
      <c r="AB191" s="1184"/>
      <c r="AC191" s="1183"/>
      <c r="AD191" s="1184"/>
      <c r="AE191" s="1183"/>
      <c r="AF191" s="1185"/>
      <c r="AG191" s="9"/>
      <c r="AH191" s="9"/>
      <c r="AI191" s="9"/>
      <c r="AJ191" s="248"/>
    </row>
    <row r="192" spans="1:36" ht="31.5">
      <c r="A192" s="248"/>
      <c r="B192" s="248"/>
      <c r="C192" s="248"/>
      <c r="D192" s="248"/>
      <c r="E192" s="248"/>
      <c r="F192" s="248"/>
      <c r="G192" s="248"/>
      <c r="H192" s="248"/>
      <c r="I192" s="248"/>
      <c r="J192" s="1190" t="s">
        <v>2258</v>
      </c>
      <c r="K192" s="1161" t="s">
        <v>426</v>
      </c>
      <c r="L192" s="1183"/>
      <c r="M192" s="1183"/>
      <c r="N192" s="1182"/>
      <c r="O192" s="1183"/>
      <c r="P192" s="1183"/>
      <c r="Q192" s="1183"/>
      <c r="R192" s="1183"/>
      <c r="S192" s="1184"/>
      <c r="T192" s="1183"/>
      <c r="U192" s="1183"/>
      <c r="V192" s="1184"/>
      <c r="W192" s="1183"/>
      <c r="X192" s="1186"/>
      <c r="Y192" s="1183"/>
      <c r="Z192" s="1183"/>
      <c r="AA192" s="1184"/>
      <c r="AB192" s="1186"/>
      <c r="AC192" s="1183"/>
      <c r="AD192" s="1184"/>
      <c r="AE192" s="1183"/>
      <c r="AF192" s="1185"/>
      <c r="AG192" s="9"/>
      <c r="AH192" s="9"/>
      <c r="AI192" s="9"/>
      <c r="AJ192" s="248"/>
    </row>
    <row r="193" spans="1:36" ht="15.75">
      <c r="A193" s="248"/>
      <c r="B193" s="248"/>
      <c r="C193" s="248"/>
      <c r="D193" s="248"/>
      <c r="E193" s="248"/>
      <c r="F193" s="248"/>
      <c r="G193" s="248"/>
      <c r="H193" s="248"/>
      <c r="I193" s="248"/>
      <c r="J193" s="1190" t="s">
        <v>1763</v>
      </c>
      <c r="K193" s="1161" t="s">
        <v>427</v>
      </c>
      <c r="L193" s="1183"/>
      <c r="M193" s="1183"/>
      <c r="N193" s="1182"/>
      <c r="O193" s="1183"/>
      <c r="P193" s="1183"/>
      <c r="Q193" s="1183"/>
      <c r="R193" s="1183"/>
      <c r="S193" s="1184"/>
      <c r="T193" s="1183"/>
      <c r="U193" s="1183"/>
      <c r="V193" s="1183"/>
      <c r="W193" s="1183"/>
      <c r="X193" s="1184"/>
      <c r="Y193" s="1183"/>
      <c r="Z193" s="1183"/>
      <c r="AA193" s="1184"/>
      <c r="AB193" s="1184"/>
      <c r="AC193" s="1183"/>
      <c r="AD193" s="1186"/>
      <c r="AE193" s="1183"/>
      <c r="AF193" s="1185"/>
      <c r="AG193" s="9"/>
      <c r="AH193" s="9"/>
      <c r="AI193" s="9"/>
      <c r="AJ193" s="248"/>
    </row>
    <row r="194" spans="1:36" ht="15.75">
      <c r="A194" s="248"/>
      <c r="B194" s="248"/>
      <c r="C194" s="248"/>
      <c r="D194" s="248"/>
      <c r="E194" s="248"/>
      <c r="F194" s="248"/>
      <c r="G194" s="248"/>
      <c r="H194" s="248"/>
      <c r="I194" s="248"/>
      <c r="J194" s="1190" t="s">
        <v>1982</v>
      </c>
      <c r="K194" s="1161" t="s">
        <v>428</v>
      </c>
      <c r="L194" s="1183"/>
      <c r="M194" s="1183"/>
      <c r="N194" s="1182"/>
      <c r="O194" s="1183"/>
      <c r="P194" s="1183"/>
      <c r="Q194" s="1183"/>
      <c r="R194" s="1183"/>
      <c r="S194" s="1183"/>
      <c r="T194" s="1183"/>
      <c r="U194" s="1183"/>
      <c r="V194" s="1183"/>
      <c r="W194" s="1183"/>
      <c r="X194" s="1183"/>
      <c r="Y194" s="1183"/>
      <c r="Z194" s="1183"/>
      <c r="AA194" s="1183"/>
      <c r="AB194" s="1183"/>
      <c r="AC194" s="1183"/>
      <c r="AD194" s="1184"/>
      <c r="AE194" s="1183"/>
      <c r="AF194" s="1185"/>
      <c r="AG194" s="9"/>
      <c r="AH194" s="9"/>
      <c r="AI194" s="9"/>
      <c r="AJ194" s="248"/>
    </row>
    <row r="195" spans="1:36" ht="15.75">
      <c r="A195" s="248"/>
      <c r="B195" s="248"/>
      <c r="C195" s="248"/>
      <c r="D195" s="248"/>
      <c r="E195" s="248"/>
      <c r="F195" s="248"/>
      <c r="G195" s="248"/>
      <c r="H195" s="248"/>
      <c r="I195" s="248"/>
      <c r="J195" s="1190" t="s">
        <v>1987</v>
      </c>
      <c r="K195" s="1161" t="s">
        <v>429</v>
      </c>
      <c r="L195" s="1183"/>
      <c r="M195" s="1183"/>
      <c r="N195" s="1182"/>
      <c r="O195" s="1183"/>
      <c r="P195" s="1183"/>
      <c r="Q195" s="1183"/>
      <c r="R195" s="1183"/>
      <c r="S195" s="1183"/>
      <c r="T195" s="1183"/>
      <c r="U195" s="1183"/>
      <c r="V195" s="1184"/>
      <c r="W195" s="1183"/>
      <c r="X195" s="1183"/>
      <c r="Y195" s="1183"/>
      <c r="Z195" s="1183"/>
      <c r="AA195" s="1183"/>
      <c r="AB195" s="1183"/>
      <c r="AC195" s="1183"/>
      <c r="AD195" s="1187"/>
      <c r="AE195" s="1183"/>
      <c r="AF195" s="1185"/>
      <c r="AG195" s="9"/>
      <c r="AH195" s="9"/>
      <c r="AI195" s="9"/>
      <c r="AJ195" s="248"/>
    </row>
    <row r="196" spans="1:36" ht="15.75">
      <c r="A196" s="248"/>
      <c r="B196" s="248"/>
      <c r="C196" s="248"/>
      <c r="D196" s="248"/>
      <c r="E196" s="248"/>
      <c r="F196" s="248"/>
      <c r="G196" s="248"/>
      <c r="H196" s="248"/>
      <c r="I196" s="248"/>
      <c r="J196" s="1191" t="s">
        <v>1989</v>
      </c>
      <c r="K196" s="1161" t="s">
        <v>430</v>
      </c>
      <c r="L196" s="1183"/>
      <c r="M196" s="1183"/>
      <c r="N196" s="1182"/>
      <c r="O196" s="1183"/>
      <c r="P196" s="1183"/>
      <c r="Q196" s="1183"/>
      <c r="R196" s="1183"/>
      <c r="S196" s="1183"/>
      <c r="T196" s="1183"/>
      <c r="U196" s="1183"/>
      <c r="V196" s="1183"/>
      <c r="W196" s="1184"/>
      <c r="X196" s="1183"/>
      <c r="Y196" s="1183"/>
      <c r="Z196" s="1183"/>
      <c r="AA196" s="1183"/>
      <c r="AB196" s="1183"/>
      <c r="AC196" s="1183"/>
      <c r="AD196" s="1187"/>
      <c r="AE196" s="1183"/>
      <c r="AF196" s="1185"/>
      <c r="AG196" s="9"/>
      <c r="AH196" s="9"/>
      <c r="AI196" s="9"/>
      <c r="AJ196" s="248"/>
    </row>
    <row r="197" spans="1:36" ht="15.75">
      <c r="A197" s="248"/>
      <c r="B197" s="248"/>
      <c r="C197" s="248"/>
      <c r="D197" s="248"/>
      <c r="E197" s="248"/>
      <c r="F197" s="248"/>
      <c r="G197" s="248"/>
      <c r="H197" s="248"/>
      <c r="I197" s="248"/>
      <c r="J197" s="1181" t="s">
        <v>1993</v>
      </c>
      <c r="K197" s="1161" t="s">
        <v>431</v>
      </c>
      <c r="L197" s="1183"/>
      <c r="M197" s="1183"/>
      <c r="N197" s="1182"/>
      <c r="O197" s="1183"/>
      <c r="P197" s="1183"/>
      <c r="Q197" s="1183"/>
      <c r="R197" s="1183"/>
      <c r="S197" s="1184"/>
      <c r="T197" s="1183"/>
      <c r="U197" s="1183"/>
      <c r="V197" s="1183"/>
      <c r="W197" s="1183"/>
      <c r="X197" s="1183"/>
      <c r="Y197" s="1183"/>
      <c r="Z197" s="1183"/>
      <c r="AA197" s="1183"/>
      <c r="AB197" s="1183"/>
      <c r="AC197" s="1183"/>
      <c r="AD197" s="1187"/>
      <c r="AE197" s="1183"/>
      <c r="AF197" s="1185"/>
      <c r="AG197" s="9"/>
      <c r="AH197" s="9"/>
      <c r="AI197" s="9"/>
      <c r="AJ197" s="248"/>
    </row>
    <row r="198" spans="1:36" ht="15.75">
      <c r="A198" s="248"/>
      <c r="B198" s="248"/>
      <c r="C198" s="248"/>
      <c r="D198" s="248"/>
      <c r="E198" s="248"/>
      <c r="F198" s="248"/>
      <c r="G198" s="248"/>
      <c r="H198" s="248"/>
      <c r="I198" s="248"/>
      <c r="J198" s="1181" t="s">
        <v>1995</v>
      </c>
      <c r="K198" s="1161" t="s">
        <v>432</v>
      </c>
      <c r="L198" s="1183"/>
      <c r="M198" s="1183"/>
      <c r="N198" s="1182"/>
      <c r="O198" s="1183"/>
      <c r="P198" s="1183"/>
      <c r="Q198" s="1183"/>
      <c r="R198" s="1183"/>
      <c r="S198" s="1183"/>
      <c r="T198" s="1183"/>
      <c r="U198" s="1183"/>
      <c r="V198" s="1183"/>
      <c r="W198" s="1183"/>
      <c r="X198" s="1183"/>
      <c r="Y198" s="1183"/>
      <c r="Z198" s="1183"/>
      <c r="AA198" s="1184"/>
      <c r="AB198" s="1183"/>
      <c r="AC198" s="1183"/>
      <c r="AD198" s="1186"/>
      <c r="AE198" s="1183"/>
      <c r="AF198" s="1185"/>
      <c r="AG198" s="9"/>
      <c r="AH198" s="9"/>
      <c r="AI198" s="9"/>
      <c r="AJ198" s="248"/>
    </row>
    <row r="199" spans="1:36" ht="15.75">
      <c r="A199" s="248"/>
      <c r="B199" s="248"/>
      <c r="C199" s="248"/>
      <c r="D199" s="248"/>
      <c r="E199" s="248"/>
      <c r="F199" s="248"/>
      <c r="G199" s="248"/>
      <c r="H199" s="248"/>
      <c r="I199" s="248"/>
      <c r="J199" s="1181" t="s">
        <v>1998</v>
      </c>
      <c r="K199" s="1161" t="s">
        <v>433</v>
      </c>
      <c r="L199" s="1183"/>
      <c r="M199" s="1183"/>
      <c r="N199" s="1182"/>
      <c r="O199" s="1183"/>
      <c r="P199" s="1183"/>
      <c r="Q199" s="1183"/>
      <c r="R199" s="1183"/>
      <c r="S199" s="1183"/>
      <c r="T199" s="1183"/>
      <c r="U199" s="1183"/>
      <c r="V199" s="1184"/>
      <c r="W199" s="1183"/>
      <c r="X199" s="1183"/>
      <c r="Y199" s="1183"/>
      <c r="Z199" s="1183"/>
      <c r="AA199" s="1187"/>
      <c r="AB199" s="1183"/>
      <c r="AC199" s="1183"/>
      <c r="AD199" s="1186"/>
      <c r="AE199" s="1183"/>
      <c r="AF199" s="1185"/>
      <c r="AG199" s="9"/>
      <c r="AH199" s="9"/>
      <c r="AI199" s="9"/>
      <c r="AJ199" s="248"/>
    </row>
    <row r="200" spans="1:36" ht="15.75">
      <c r="A200" s="248"/>
      <c r="B200" s="248"/>
      <c r="C200" s="248"/>
      <c r="D200" s="248"/>
      <c r="E200" s="248"/>
      <c r="F200" s="248"/>
      <c r="G200" s="248"/>
      <c r="H200" s="248"/>
      <c r="I200" s="248"/>
      <c r="J200" s="1181" t="s">
        <v>2001</v>
      </c>
      <c r="K200" s="1161" t="s">
        <v>434</v>
      </c>
      <c r="L200" s="1183"/>
      <c r="M200" s="1183"/>
      <c r="N200" s="1182"/>
      <c r="O200" s="1183"/>
      <c r="P200" s="1183"/>
      <c r="Q200" s="1183"/>
      <c r="R200" s="1183"/>
      <c r="S200" s="1183"/>
      <c r="T200" s="1183"/>
      <c r="U200" s="1183"/>
      <c r="V200" s="1183"/>
      <c r="W200" s="1184"/>
      <c r="X200" s="1183"/>
      <c r="Y200" s="1183"/>
      <c r="Z200" s="1183"/>
      <c r="AA200" s="1187"/>
      <c r="AB200" s="1183"/>
      <c r="AC200" s="1183"/>
      <c r="AD200" s="1186"/>
      <c r="AE200" s="1183"/>
      <c r="AF200" s="1185"/>
      <c r="AG200" s="9"/>
      <c r="AH200" s="9"/>
      <c r="AI200" s="9"/>
      <c r="AJ200" s="248"/>
    </row>
    <row r="201" spans="1:36" ht="15.75">
      <c r="A201" s="248"/>
      <c r="B201" s="248"/>
      <c r="C201" s="248"/>
      <c r="D201" s="248"/>
      <c r="E201" s="248"/>
      <c r="F201" s="248"/>
      <c r="G201" s="248"/>
      <c r="H201" s="248"/>
      <c r="I201" s="248"/>
      <c r="J201" s="1181" t="s">
        <v>2004</v>
      </c>
      <c r="K201" s="1161" t="s">
        <v>435</v>
      </c>
      <c r="L201" s="1183"/>
      <c r="M201" s="1183"/>
      <c r="N201" s="1182"/>
      <c r="O201" s="1183"/>
      <c r="P201" s="1183"/>
      <c r="Q201" s="1183"/>
      <c r="R201" s="1183"/>
      <c r="S201" s="1184"/>
      <c r="T201" s="1183"/>
      <c r="U201" s="1183"/>
      <c r="V201" s="1183"/>
      <c r="W201" s="1183"/>
      <c r="X201" s="1183"/>
      <c r="Y201" s="1183"/>
      <c r="Z201" s="1183"/>
      <c r="AA201" s="1187"/>
      <c r="AB201" s="1183"/>
      <c r="AC201" s="1183"/>
      <c r="AD201" s="1186"/>
      <c r="AE201" s="1183"/>
      <c r="AF201" s="1185"/>
      <c r="AG201" s="9"/>
      <c r="AH201" s="9"/>
      <c r="AI201" s="9"/>
      <c r="AJ201" s="248"/>
    </row>
    <row r="202" spans="1:36" ht="15.75">
      <c r="A202" s="248"/>
      <c r="B202" s="248"/>
      <c r="C202" s="248"/>
      <c r="D202" s="248"/>
      <c r="E202" s="248"/>
      <c r="F202" s="248"/>
      <c r="G202" s="248"/>
      <c r="H202" s="248"/>
      <c r="I202" s="248"/>
      <c r="J202" s="1181" t="s">
        <v>2006</v>
      </c>
      <c r="K202" s="1161" t="s">
        <v>436</v>
      </c>
      <c r="L202" s="1183"/>
      <c r="M202" s="1183"/>
      <c r="N202" s="1182"/>
      <c r="O202" s="1183"/>
      <c r="P202" s="1183"/>
      <c r="Q202" s="1183"/>
      <c r="R202" s="1183"/>
      <c r="S202" s="1183"/>
      <c r="T202" s="1183"/>
      <c r="U202" s="1183"/>
      <c r="V202" s="1183"/>
      <c r="W202" s="1183"/>
      <c r="X202" s="1183"/>
      <c r="Y202" s="1183"/>
      <c r="Z202" s="1183"/>
      <c r="AA202" s="1186"/>
      <c r="AB202" s="1183"/>
      <c r="AC202" s="1183"/>
      <c r="AD202" s="1186"/>
      <c r="AE202" s="1183"/>
      <c r="AF202" s="1185"/>
      <c r="AG202" s="9"/>
      <c r="AH202" s="9"/>
      <c r="AI202" s="9"/>
      <c r="AJ202" s="248"/>
    </row>
    <row r="203" spans="1:36" ht="15.75">
      <c r="A203" s="248"/>
      <c r="B203" s="248"/>
      <c r="C203" s="248"/>
      <c r="D203" s="248"/>
      <c r="E203" s="248"/>
      <c r="F203" s="248"/>
      <c r="G203" s="248"/>
      <c r="H203" s="248"/>
      <c r="I203" s="248"/>
      <c r="J203" s="1181" t="s">
        <v>2009</v>
      </c>
      <c r="K203" s="1161" t="s">
        <v>437</v>
      </c>
      <c r="L203" s="1183"/>
      <c r="M203" s="1183"/>
      <c r="N203" s="1182"/>
      <c r="O203" s="1183"/>
      <c r="P203" s="1183"/>
      <c r="Q203" s="1183"/>
      <c r="R203" s="1183"/>
      <c r="S203" s="1183"/>
      <c r="T203" s="1183"/>
      <c r="U203" s="1183"/>
      <c r="V203" s="1184"/>
      <c r="W203" s="1183"/>
      <c r="X203" s="1183"/>
      <c r="Y203" s="1183"/>
      <c r="Z203" s="1183"/>
      <c r="AA203" s="1186"/>
      <c r="AB203" s="1183"/>
      <c r="AC203" s="1183"/>
      <c r="AD203" s="1186"/>
      <c r="AE203" s="1183"/>
      <c r="AF203" s="1185"/>
      <c r="AG203" s="9"/>
      <c r="AH203" s="9"/>
      <c r="AI203" s="9"/>
      <c r="AJ203" s="248"/>
    </row>
    <row r="204" spans="1:36" ht="15.75">
      <c r="A204" s="248"/>
      <c r="B204" s="248"/>
      <c r="C204" s="248"/>
      <c r="D204" s="248"/>
      <c r="E204" s="248"/>
      <c r="F204" s="248"/>
      <c r="G204" s="248"/>
      <c r="H204" s="248"/>
      <c r="I204" s="248"/>
      <c r="J204" s="1181" t="s">
        <v>2011</v>
      </c>
      <c r="K204" s="1161" t="s">
        <v>438</v>
      </c>
      <c r="L204" s="1183"/>
      <c r="M204" s="1183"/>
      <c r="N204" s="1182"/>
      <c r="O204" s="1183"/>
      <c r="P204" s="1183"/>
      <c r="Q204" s="1183"/>
      <c r="R204" s="1183"/>
      <c r="S204" s="1183"/>
      <c r="T204" s="1183"/>
      <c r="U204" s="1183"/>
      <c r="V204" s="1183"/>
      <c r="W204" s="1184"/>
      <c r="X204" s="1183"/>
      <c r="Y204" s="1183"/>
      <c r="Z204" s="1183"/>
      <c r="AA204" s="1186"/>
      <c r="AB204" s="1183"/>
      <c r="AC204" s="1183"/>
      <c r="AD204" s="1186"/>
      <c r="AE204" s="1183"/>
      <c r="AF204" s="1185"/>
      <c r="AG204" s="9"/>
      <c r="AH204" s="9"/>
      <c r="AI204" s="9"/>
      <c r="AJ204" s="248"/>
    </row>
    <row r="205" spans="1:36" ht="15.75">
      <c r="A205" s="248"/>
      <c r="B205" s="248"/>
      <c r="C205" s="248"/>
      <c r="D205" s="248"/>
      <c r="E205" s="248"/>
      <c r="F205" s="248"/>
      <c r="G205" s="248"/>
      <c r="H205" s="248"/>
      <c r="I205" s="248"/>
      <c r="J205" s="1181" t="s">
        <v>2013</v>
      </c>
      <c r="K205" s="1161" t="s">
        <v>439</v>
      </c>
      <c r="L205" s="1183"/>
      <c r="M205" s="1183"/>
      <c r="N205" s="1182"/>
      <c r="O205" s="1183"/>
      <c r="P205" s="1183"/>
      <c r="Q205" s="1183"/>
      <c r="R205" s="1183"/>
      <c r="S205" s="1184"/>
      <c r="T205" s="1183"/>
      <c r="U205" s="1183"/>
      <c r="V205" s="1183"/>
      <c r="W205" s="1183"/>
      <c r="X205" s="1183"/>
      <c r="Y205" s="1183"/>
      <c r="Z205" s="1183"/>
      <c r="AA205" s="1186"/>
      <c r="AB205" s="1183"/>
      <c r="AC205" s="1183"/>
      <c r="AD205" s="1186"/>
      <c r="AE205" s="1183"/>
      <c r="AF205" s="1185"/>
      <c r="AG205" s="9"/>
      <c r="AH205" s="9"/>
      <c r="AI205" s="9"/>
      <c r="AJ205" s="248"/>
    </row>
    <row r="206" spans="1:36" ht="25.5">
      <c r="A206" s="248"/>
      <c r="B206" s="248"/>
      <c r="C206" s="248"/>
      <c r="D206" s="248"/>
      <c r="E206" s="248"/>
      <c r="F206" s="248"/>
      <c r="G206" s="248"/>
      <c r="H206" s="248"/>
      <c r="I206" s="248"/>
      <c r="J206" s="1181" t="s">
        <v>2014</v>
      </c>
      <c r="K206" s="1161" t="s">
        <v>2015</v>
      </c>
      <c r="L206" s="1183"/>
      <c r="M206" s="1183"/>
      <c r="N206" s="1182"/>
      <c r="O206" s="1183"/>
      <c r="P206" s="1183"/>
      <c r="Q206" s="1183"/>
      <c r="R206" s="1183"/>
      <c r="S206" s="1183"/>
      <c r="T206" s="1183"/>
      <c r="U206" s="1183"/>
      <c r="V206" s="1184"/>
      <c r="W206" s="1183"/>
      <c r="X206" s="1183"/>
      <c r="Y206" s="1183"/>
      <c r="Z206" s="1183"/>
      <c r="AA206" s="1186"/>
      <c r="AB206" s="1183"/>
      <c r="AC206" s="1183"/>
      <c r="AD206" s="1186"/>
      <c r="AE206" s="1183"/>
      <c r="AF206" s="1185"/>
      <c r="AG206" s="9"/>
      <c r="AH206" s="9"/>
      <c r="AI206" s="9"/>
      <c r="AJ206" s="248"/>
    </row>
    <row r="207" spans="1:36" ht="16.5" thickBot="1">
      <c r="A207" s="248"/>
      <c r="B207" s="248"/>
      <c r="C207" s="248"/>
      <c r="D207" s="248"/>
      <c r="E207" s="248"/>
      <c r="F207" s="248"/>
      <c r="G207" s="248"/>
      <c r="H207" s="248"/>
      <c r="I207" s="248"/>
      <c r="J207" s="1192" t="s">
        <v>2018</v>
      </c>
      <c r="K207" s="1173" t="s">
        <v>440</v>
      </c>
      <c r="L207" s="1193"/>
      <c r="M207" s="1193"/>
      <c r="N207" s="1194"/>
      <c r="O207" s="1193"/>
      <c r="P207" s="1193"/>
      <c r="Q207" s="1193"/>
      <c r="R207" s="1195"/>
      <c r="S207" s="1193"/>
      <c r="T207" s="1193"/>
      <c r="U207" s="1193"/>
      <c r="V207" s="1195"/>
      <c r="W207" s="1193"/>
      <c r="X207" s="1193"/>
      <c r="Y207" s="1193"/>
      <c r="Z207" s="1193"/>
      <c r="AA207" s="1193"/>
      <c r="AB207" s="1193"/>
      <c r="AC207" s="1193"/>
      <c r="AD207" s="1193"/>
      <c r="AE207" s="1193"/>
      <c r="AF207" s="1196"/>
      <c r="AG207" s="9"/>
      <c r="AH207" s="9"/>
      <c r="AI207" s="9"/>
      <c r="AJ207" s="248"/>
    </row>
  </sheetData>
  <mergeCells count="102">
    <mergeCell ref="B3:AJ3"/>
    <mergeCell ref="B5:G5"/>
    <mergeCell ref="K5:L5"/>
    <mergeCell ref="M5:AF5"/>
    <mergeCell ref="B7:G8"/>
    <mergeCell ref="K7:L7"/>
    <mergeCell ref="M7:S7"/>
    <mergeCell ref="B9:G9"/>
    <mergeCell ref="J9:AJ9"/>
    <mergeCell ref="AG11:AJ11"/>
    <mergeCell ref="B12:B30"/>
    <mergeCell ref="AG12:AJ12"/>
    <mergeCell ref="AG13:AJ13"/>
    <mergeCell ref="AG14:AJ14"/>
    <mergeCell ref="AG15:AJ15"/>
    <mergeCell ref="AG16:AJ16"/>
    <mergeCell ref="AG17:AJ17"/>
    <mergeCell ref="AG18:AJ18"/>
    <mergeCell ref="AG19:AJ19"/>
    <mergeCell ref="AG20:AJ20"/>
    <mergeCell ref="AG21:AJ21"/>
    <mergeCell ref="AG22:AJ22"/>
    <mergeCell ref="AG23:AJ23"/>
    <mergeCell ref="AG24:AJ24"/>
    <mergeCell ref="AG25:AJ25"/>
    <mergeCell ref="AG26:AJ26"/>
    <mergeCell ref="AG27:AJ27"/>
    <mergeCell ref="AG28:AJ28"/>
    <mergeCell ref="AG29:AJ29"/>
    <mergeCell ref="AG30:AJ30"/>
    <mergeCell ref="B31:B67"/>
    <mergeCell ref="AG31:AJ31"/>
    <mergeCell ref="AG32:AJ32"/>
    <mergeCell ref="AG33:AJ33"/>
    <mergeCell ref="AG34:AJ34"/>
    <mergeCell ref="AG35:AJ35"/>
    <mergeCell ref="AG36:AJ36"/>
    <mergeCell ref="AG37:AJ37"/>
    <mergeCell ref="AG38:AJ38"/>
    <mergeCell ref="AG39:AJ39"/>
    <mergeCell ref="AG40:AJ40"/>
    <mergeCell ref="AG41:AJ41"/>
    <mergeCell ref="AG42:AJ42"/>
    <mergeCell ref="AG43:AJ43"/>
    <mergeCell ref="AG44:AJ44"/>
    <mergeCell ref="AG45:AJ45"/>
    <mergeCell ref="AG46:AJ46"/>
    <mergeCell ref="AG47:AJ47"/>
    <mergeCell ref="K48:AF48"/>
    <mergeCell ref="J54:AJ54"/>
    <mergeCell ref="AG56:AJ56"/>
    <mergeCell ref="AG57:AJ57"/>
    <mergeCell ref="AG58:AJ58"/>
    <mergeCell ref="AG59:AJ59"/>
    <mergeCell ref="AG60:AJ60"/>
    <mergeCell ref="AG61:AJ61"/>
    <mergeCell ref="AG62:AJ62"/>
    <mergeCell ref="AG63:AJ63"/>
    <mergeCell ref="AG64:AJ64"/>
    <mergeCell ref="AG65:AJ65"/>
    <mergeCell ref="AG66:AJ66"/>
    <mergeCell ref="AG67:AJ67"/>
    <mergeCell ref="B68:B98"/>
    <mergeCell ref="AG68:AJ68"/>
    <mergeCell ref="AG69:AJ69"/>
    <mergeCell ref="AG70:AJ70"/>
    <mergeCell ref="AG71:AJ71"/>
    <mergeCell ref="AG72:AJ72"/>
    <mergeCell ref="AG73:AJ73"/>
    <mergeCell ref="AG74:AJ74"/>
    <mergeCell ref="AG75:AJ75"/>
    <mergeCell ref="AG76:AJ76"/>
    <mergeCell ref="AG77:AJ77"/>
    <mergeCell ref="AG78:AJ78"/>
    <mergeCell ref="AG79:AJ79"/>
    <mergeCell ref="AG80:AJ80"/>
    <mergeCell ref="AG81:AJ81"/>
    <mergeCell ref="AG82:AJ82"/>
    <mergeCell ref="AG83:AJ83"/>
    <mergeCell ref="AG84:AJ84"/>
    <mergeCell ref="AG85:AJ85"/>
    <mergeCell ref="AG86:AJ86"/>
    <mergeCell ref="AG87:AJ87"/>
    <mergeCell ref="AG88:AJ88"/>
    <mergeCell ref="AG89:AJ89"/>
    <mergeCell ref="AG90:AJ90"/>
    <mergeCell ref="AG91:AJ91"/>
    <mergeCell ref="AG92:AJ92"/>
    <mergeCell ref="K93:AF93"/>
    <mergeCell ref="J99:AJ99"/>
    <mergeCell ref="AG101:AJ101"/>
    <mergeCell ref="J163:AJ163"/>
    <mergeCell ref="M165:R165"/>
    <mergeCell ref="S165:W165"/>
    <mergeCell ref="M166:R166"/>
    <mergeCell ref="S166:W166"/>
    <mergeCell ref="M169:R169"/>
    <mergeCell ref="S169:W169"/>
    <mergeCell ref="M167:R167"/>
    <mergeCell ref="S167:W167"/>
    <mergeCell ref="M168:R168"/>
    <mergeCell ref="S168:W168"/>
  </mergeCells>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AJ199"/>
  <sheetViews>
    <sheetView zoomScale="55" zoomScaleNormal="55" workbookViewId="0" topLeftCell="A1">
      <selection activeCell="B3" sqref="B3:AF3"/>
    </sheetView>
  </sheetViews>
  <sheetFormatPr defaultColWidth="9.140625" defaultRowHeight="12.75"/>
  <cols>
    <col min="1" max="1" width="3.00390625" style="0" customWidth="1"/>
    <col min="2" max="2" width="8.28125" style="0" customWidth="1"/>
    <col min="3" max="3" width="75.7109375" style="0" bestFit="1" customWidth="1"/>
    <col min="4" max="4" width="12.7109375" style="0" customWidth="1"/>
    <col min="5" max="6" width="11.421875" style="0" customWidth="1"/>
    <col min="7" max="7" width="6.421875" style="0" customWidth="1"/>
    <col min="8" max="10" width="5.140625" style="0" customWidth="1"/>
    <col min="11" max="11" width="52.00390625" style="0" bestFit="1" customWidth="1"/>
    <col min="12" max="12" width="21.140625" style="0" customWidth="1"/>
    <col min="13" max="13" width="12.8515625" style="0" customWidth="1"/>
    <col min="14" max="14" width="13.00390625" style="0" customWidth="1"/>
    <col min="15" max="15" width="29.00390625" style="0" customWidth="1"/>
    <col min="16" max="16" width="19.421875" style="0" customWidth="1"/>
    <col min="17" max="17" width="27.421875" style="0" customWidth="1"/>
    <col min="18" max="18" width="10.7109375" style="0" customWidth="1"/>
    <col min="19" max="19" width="10.28125" style="0" customWidth="1"/>
    <col min="20" max="20" width="5.00390625" style="0" customWidth="1"/>
    <col min="21" max="21" width="14.8515625" style="0" customWidth="1"/>
    <col min="22" max="22" width="16.8515625" style="0" customWidth="1"/>
    <col min="23" max="24" width="5.28125" style="0" customWidth="1"/>
    <col min="25" max="25" width="16.8515625" style="0" customWidth="1"/>
    <col min="26" max="26" width="14.140625" style="0" customWidth="1"/>
    <col min="27" max="27" width="7.28125" style="0" customWidth="1"/>
    <col min="28" max="28" width="19.7109375" style="0" customWidth="1"/>
    <col min="29" max="29" width="20.57421875" style="0" customWidth="1"/>
    <col min="30" max="30" width="19.140625" style="0" customWidth="1"/>
    <col min="31" max="31" width="22.8515625" style="0" customWidth="1"/>
    <col min="32" max="32" width="24.7109375" style="0" customWidth="1"/>
    <col min="33" max="16384" width="11.421875" style="0" customWidth="1"/>
  </cols>
  <sheetData>
    <row r="1" spans="1:36" ht="14.25">
      <c r="A1" s="248"/>
      <c r="B1" s="248"/>
      <c r="C1" s="248"/>
      <c r="D1" s="248"/>
      <c r="E1" s="248"/>
      <c r="F1" s="248"/>
      <c r="G1" s="248"/>
      <c r="H1" s="251"/>
      <c r="I1" s="251"/>
      <c r="J1" s="9"/>
      <c r="K1" s="9"/>
      <c r="L1" s="9"/>
      <c r="M1" s="9"/>
      <c r="N1" s="9"/>
      <c r="O1" s="9"/>
      <c r="P1" s="9"/>
      <c r="Q1" s="9"/>
      <c r="R1" s="9"/>
      <c r="S1" s="9"/>
      <c r="T1" s="9"/>
      <c r="U1" s="9"/>
      <c r="V1" s="9"/>
      <c r="W1" s="9"/>
      <c r="X1" s="9"/>
      <c r="Y1" s="9"/>
      <c r="Z1" s="9"/>
      <c r="AA1" s="9"/>
      <c r="AB1" s="9"/>
      <c r="AC1" s="9"/>
      <c r="AD1" s="9"/>
      <c r="AE1" s="9"/>
      <c r="AF1" s="9"/>
      <c r="AG1" s="9"/>
      <c r="AH1" s="9"/>
      <c r="AI1" s="9"/>
      <c r="AJ1" s="248"/>
    </row>
    <row r="2" spans="1:36" ht="15" thickBot="1">
      <c r="A2" s="248"/>
      <c r="B2" s="248"/>
      <c r="C2" s="248"/>
      <c r="D2" s="248"/>
      <c r="E2" s="248"/>
      <c r="F2" s="248"/>
      <c r="G2" s="248"/>
      <c r="H2" s="251"/>
      <c r="I2" s="251"/>
      <c r="J2" s="9"/>
      <c r="K2" s="9"/>
      <c r="L2" s="9"/>
      <c r="M2" s="9"/>
      <c r="N2" s="9"/>
      <c r="O2" s="9"/>
      <c r="P2" s="9"/>
      <c r="Q2" s="9"/>
      <c r="R2" s="9"/>
      <c r="S2" s="9"/>
      <c r="T2" s="9"/>
      <c r="U2" s="9"/>
      <c r="V2" s="9"/>
      <c r="W2" s="9"/>
      <c r="X2" s="9"/>
      <c r="Y2" s="9"/>
      <c r="Z2" s="9"/>
      <c r="AA2" s="9"/>
      <c r="AB2" s="9"/>
      <c r="AC2" s="9"/>
      <c r="AD2" s="9"/>
      <c r="AE2" s="9"/>
      <c r="AF2" s="9"/>
      <c r="AG2" s="9"/>
      <c r="AH2" s="9"/>
      <c r="AI2" s="9"/>
      <c r="AJ2" s="248"/>
    </row>
    <row r="3" spans="1:36" ht="34.5" thickBot="1">
      <c r="A3" s="248"/>
      <c r="B3" s="1446" t="s">
        <v>1627</v>
      </c>
      <c r="C3" s="1447"/>
      <c r="D3" s="1447"/>
      <c r="E3" s="1447"/>
      <c r="F3" s="1447"/>
      <c r="G3" s="1447"/>
      <c r="H3" s="1447"/>
      <c r="I3" s="1447"/>
      <c r="J3" s="1447"/>
      <c r="K3" s="1447"/>
      <c r="L3" s="1447"/>
      <c r="M3" s="1447"/>
      <c r="N3" s="1447"/>
      <c r="O3" s="1447"/>
      <c r="P3" s="1447"/>
      <c r="Q3" s="1447"/>
      <c r="R3" s="1447"/>
      <c r="S3" s="1447"/>
      <c r="T3" s="1447"/>
      <c r="U3" s="1447"/>
      <c r="V3" s="1447"/>
      <c r="W3" s="1447"/>
      <c r="X3" s="1447"/>
      <c r="Y3" s="1447"/>
      <c r="Z3" s="1447"/>
      <c r="AA3" s="1447"/>
      <c r="AB3" s="1447"/>
      <c r="AC3" s="1447"/>
      <c r="AD3" s="1447"/>
      <c r="AE3" s="1447"/>
      <c r="AF3" s="1448"/>
      <c r="AG3" s="9"/>
      <c r="AH3" s="9"/>
      <c r="AI3" s="9"/>
      <c r="AJ3" s="248"/>
    </row>
    <row r="4" spans="1:36" ht="15" thickBot="1">
      <c r="A4" s="248"/>
      <c r="B4" s="248"/>
      <c r="C4" s="248"/>
      <c r="D4" s="248"/>
      <c r="E4" s="248"/>
      <c r="F4" s="248"/>
      <c r="G4" s="248"/>
      <c r="H4" s="251"/>
      <c r="I4" s="251"/>
      <c r="J4" s="9"/>
      <c r="K4" s="9"/>
      <c r="L4" s="9"/>
      <c r="M4" s="9"/>
      <c r="N4" s="9"/>
      <c r="O4" s="9"/>
      <c r="P4" s="9"/>
      <c r="Q4" s="9"/>
      <c r="R4" s="9"/>
      <c r="S4" s="9"/>
      <c r="T4" s="9"/>
      <c r="U4" s="9"/>
      <c r="V4" s="9"/>
      <c r="W4" s="9"/>
      <c r="X4" s="9"/>
      <c r="Y4" s="9"/>
      <c r="Z4" s="9"/>
      <c r="AA4" s="9"/>
      <c r="AB4" s="9"/>
      <c r="AC4" s="9"/>
      <c r="AD4" s="9"/>
      <c r="AE4" s="9"/>
      <c r="AF4" s="9"/>
      <c r="AG4" s="9"/>
      <c r="AH4" s="9"/>
      <c r="AI4" s="9"/>
      <c r="AJ4" s="248"/>
    </row>
    <row r="5" spans="1:36" ht="30.75" thickBot="1">
      <c r="A5" s="510"/>
      <c r="B5" s="1331" t="s">
        <v>2263</v>
      </c>
      <c r="C5" s="1332"/>
      <c r="D5" s="1332"/>
      <c r="E5" s="1332"/>
      <c r="F5" s="1332"/>
      <c r="G5" s="1333"/>
      <c r="H5" s="1197"/>
      <c r="I5" s="1197"/>
      <c r="J5" s="8"/>
      <c r="K5" s="1352" t="s">
        <v>2264</v>
      </c>
      <c r="L5" s="1358"/>
      <c r="M5" s="1359" t="s">
        <v>1628</v>
      </c>
      <c r="N5" s="1360"/>
      <c r="O5" s="1360"/>
      <c r="P5" s="1360"/>
      <c r="Q5" s="1360"/>
      <c r="R5" s="1360"/>
      <c r="S5" s="1360"/>
      <c r="T5" s="1360"/>
      <c r="U5" s="1360"/>
      <c r="V5" s="1360"/>
      <c r="W5" s="1360"/>
      <c r="X5" s="1360"/>
      <c r="Y5" s="1360"/>
      <c r="Z5" s="1360"/>
      <c r="AA5" s="1360"/>
      <c r="AB5" s="1361"/>
      <c r="AC5" s="1198"/>
      <c r="AD5" s="9"/>
      <c r="AE5" s="9"/>
      <c r="AF5" s="9"/>
      <c r="AG5" s="249"/>
      <c r="AH5" s="250"/>
      <c r="AI5" s="250"/>
      <c r="AJ5" s="510"/>
    </row>
    <row r="6" spans="1:36" ht="15" thickBot="1">
      <c r="A6" s="510"/>
      <c r="B6" s="7"/>
      <c r="C6" s="7"/>
      <c r="D6" s="8"/>
      <c r="E6" s="8"/>
      <c r="F6" s="8"/>
      <c r="G6" s="8"/>
      <c r="H6" s="1197"/>
      <c r="I6" s="1197"/>
      <c r="J6" s="8"/>
      <c r="K6" s="12"/>
      <c r="L6" s="12"/>
      <c r="M6" s="12"/>
      <c r="N6" s="12"/>
      <c r="O6" s="12"/>
      <c r="P6" s="12"/>
      <c r="Q6" s="8"/>
      <c r="R6" s="8"/>
      <c r="S6" s="8"/>
      <c r="T6" s="8"/>
      <c r="U6" s="8"/>
      <c r="V6" s="8"/>
      <c r="W6" s="8"/>
      <c r="X6" s="8"/>
      <c r="Y6" s="9"/>
      <c r="Z6" s="9"/>
      <c r="AA6" s="9"/>
      <c r="AB6" s="9"/>
      <c r="AC6" s="9"/>
      <c r="AD6" s="9"/>
      <c r="AE6" s="9"/>
      <c r="AF6" s="9"/>
      <c r="AG6" s="249"/>
      <c r="AH6" s="190"/>
      <c r="AI6" s="249"/>
      <c r="AJ6" s="510"/>
    </row>
    <row r="7" spans="1:36" ht="18.75" thickBot="1">
      <c r="A7" s="510"/>
      <c r="B7" s="1330" t="s">
        <v>1629</v>
      </c>
      <c r="C7" s="1330"/>
      <c r="D7" s="1330"/>
      <c r="E7" s="1330"/>
      <c r="F7" s="1330"/>
      <c r="G7" s="1330"/>
      <c r="H7" s="1197"/>
      <c r="I7" s="1197"/>
      <c r="J7" s="8"/>
      <c r="K7" s="1352" t="s">
        <v>2267</v>
      </c>
      <c r="L7" s="1353"/>
      <c r="M7" s="1354" t="s">
        <v>2268</v>
      </c>
      <c r="N7" s="1355"/>
      <c r="O7" s="1355"/>
      <c r="P7" s="1355"/>
      <c r="Q7" s="1355"/>
      <c r="R7" s="1355"/>
      <c r="S7" s="1326"/>
      <c r="T7" s="8"/>
      <c r="U7" s="8"/>
      <c r="V7" s="8"/>
      <c r="W7" s="8"/>
      <c r="X7" s="8"/>
      <c r="Y7" s="9"/>
      <c r="Z7" s="9"/>
      <c r="AA7" s="9"/>
      <c r="AB7" s="9"/>
      <c r="AC7" s="9"/>
      <c r="AD7" s="9"/>
      <c r="AE7" s="9"/>
      <c r="AF7" s="9"/>
      <c r="AG7" s="249"/>
      <c r="AH7" s="190"/>
      <c r="AI7" s="249"/>
      <c r="AJ7" s="510"/>
    </row>
    <row r="8" spans="1:36" ht="15" thickBot="1">
      <c r="A8" s="513"/>
      <c r="B8" s="1330"/>
      <c r="C8" s="1330"/>
      <c r="D8" s="1330"/>
      <c r="E8" s="1330"/>
      <c r="F8" s="1330"/>
      <c r="G8" s="1330"/>
      <c r="H8" s="1197"/>
      <c r="I8" s="1197"/>
      <c r="J8" s="8"/>
      <c r="K8" s="8"/>
      <c r="L8" s="8"/>
      <c r="M8" s="8"/>
      <c r="N8" s="8"/>
      <c r="O8" s="8"/>
      <c r="P8" s="8"/>
      <c r="Q8" s="8"/>
      <c r="R8" s="8"/>
      <c r="S8" s="8"/>
      <c r="T8" s="8"/>
      <c r="U8" s="8"/>
      <c r="V8" s="8"/>
      <c r="W8" s="8"/>
      <c r="X8" s="8"/>
      <c r="Y8" s="9"/>
      <c r="Z8" s="9"/>
      <c r="AA8" s="9"/>
      <c r="AB8" s="9"/>
      <c r="AC8" s="9"/>
      <c r="AD8" s="9"/>
      <c r="AE8" s="9"/>
      <c r="AF8" s="9"/>
      <c r="AG8" s="249"/>
      <c r="AH8" s="190"/>
      <c r="AI8" s="249"/>
      <c r="AJ8" s="510"/>
    </row>
    <row r="9" spans="1:36" ht="30.75" thickBot="1">
      <c r="A9" s="513"/>
      <c r="B9" s="1324" t="s">
        <v>1387</v>
      </c>
      <c r="C9" s="1324"/>
      <c r="D9" s="1324"/>
      <c r="E9" s="1324"/>
      <c r="F9" s="1324"/>
      <c r="G9" s="1324"/>
      <c r="H9" s="1197"/>
      <c r="I9" s="1197"/>
      <c r="J9" s="1331" t="s">
        <v>2269</v>
      </c>
      <c r="K9" s="1332"/>
      <c r="L9" s="1332"/>
      <c r="M9" s="1332"/>
      <c r="N9" s="1332"/>
      <c r="O9" s="1332"/>
      <c r="P9" s="1332"/>
      <c r="Q9" s="1332"/>
      <c r="R9" s="1332"/>
      <c r="S9" s="1332"/>
      <c r="T9" s="1332"/>
      <c r="U9" s="1332"/>
      <c r="V9" s="1332"/>
      <c r="W9" s="1332"/>
      <c r="X9" s="1332"/>
      <c r="Y9" s="1332"/>
      <c r="Z9" s="1332"/>
      <c r="AA9" s="1332"/>
      <c r="AB9" s="1332"/>
      <c r="AC9" s="1332"/>
      <c r="AD9" s="1332"/>
      <c r="AE9" s="1332"/>
      <c r="AF9" s="1333"/>
      <c r="AG9" s="514"/>
      <c r="AH9" s="514"/>
      <c r="AI9" s="514"/>
      <c r="AJ9" s="510"/>
    </row>
    <row r="10" spans="1:36" ht="15" thickBot="1">
      <c r="A10" s="248"/>
      <c r="B10" s="248"/>
      <c r="C10" s="248"/>
      <c r="D10" s="248"/>
      <c r="E10" s="248"/>
      <c r="F10" s="248"/>
      <c r="G10" s="248"/>
      <c r="H10" s="251"/>
      <c r="I10" s="251"/>
      <c r="J10" s="9"/>
      <c r="K10" s="9"/>
      <c r="L10" s="9"/>
      <c r="M10" s="9"/>
      <c r="N10" s="9"/>
      <c r="O10" s="9"/>
      <c r="P10" s="9"/>
      <c r="Q10" s="9"/>
      <c r="R10" s="9"/>
      <c r="S10" s="9"/>
      <c r="T10" s="9"/>
      <c r="U10" s="9"/>
      <c r="V10" s="9"/>
      <c r="W10" s="9"/>
      <c r="X10" s="9"/>
      <c r="Y10" s="9"/>
      <c r="Z10" s="9"/>
      <c r="AA10" s="9"/>
      <c r="AB10" s="9"/>
      <c r="AC10" s="9"/>
      <c r="AD10" s="9"/>
      <c r="AE10" s="9"/>
      <c r="AF10" s="9"/>
      <c r="AG10" s="9"/>
      <c r="AH10" s="9"/>
      <c r="AI10" s="9"/>
      <c r="AJ10" s="248"/>
    </row>
    <row r="11" spans="1:36" ht="57.75" thickBot="1">
      <c r="A11" s="248"/>
      <c r="B11" s="248"/>
      <c r="C11" s="248"/>
      <c r="D11" s="1199" t="s">
        <v>2208</v>
      </c>
      <c r="E11" s="255" t="s">
        <v>2271</v>
      </c>
      <c r="F11" s="518" t="s">
        <v>2272</v>
      </c>
      <c r="G11" s="255" t="s">
        <v>2273</v>
      </c>
      <c r="H11" s="251"/>
      <c r="I11" s="251"/>
      <c r="J11" s="1200"/>
      <c r="K11" s="877"/>
      <c r="L11" s="259" t="s">
        <v>2365</v>
      </c>
      <c r="M11" s="259" t="s">
        <v>2452</v>
      </c>
      <c r="N11" s="259" t="s">
        <v>2451</v>
      </c>
      <c r="O11" s="259" t="s">
        <v>2453</v>
      </c>
      <c r="P11" s="259" t="s">
        <v>2366</v>
      </c>
      <c r="Q11" s="259" t="s">
        <v>2454</v>
      </c>
      <c r="R11" s="259" t="s">
        <v>2274</v>
      </c>
      <c r="S11" s="259" t="s">
        <v>1630</v>
      </c>
      <c r="T11" s="259" t="s">
        <v>2276</v>
      </c>
      <c r="U11" s="259" t="s">
        <v>1631</v>
      </c>
      <c r="V11" s="259" t="s">
        <v>1632</v>
      </c>
      <c r="W11" s="259" t="s">
        <v>2456</v>
      </c>
      <c r="X11" s="259" t="s">
        <v>2457</v>
      </c>
      <c r="Y11" s="259" t="s">
        <v>2458</v>
      </c>
      <c r="Z11" s="259" t="s">
        <v>2459</v>
      </c>
      <c r="AA11" s="259" t="s">
        <v>1633</v>
      </c>
      <c r="AB11" s="1201" t="s">
        <v>2287</v>
      </c>
      <c r="AC11" s="1449" t="s">
        <v>2288</v>
      </c>
      <c r="AD11" s="1450"/>
      <c r="AE11" s="1450"/>
      <c r="AF11" s="1451"/>
      <c r="AG11" s="9"/>
      <c r="AH11" s="9"/>
      <c r="AI11" s="9"/>
      <c r="AJ11" s="248"/>
    </row>
    <row r="12" spans="1:36" ht="19.5">
      <c r="A12" s="248"/>
      <c r="B12" s="1365" t="s">
        <v>2289</v>
      </c>
      <c r="C12" s="1202" t="s">
        <v>2465</v>
      </c>
      <c r="D12" s="695" t="s">
        <v>2466</v>
      </c>
      <c r="E12" s="1203" t="s">
        <v>2214</v>
      </c>
      <c r="F12" s="264" t="s">
        <v>2293</v>
      </c>
      <c r="G12" s="24"/>
      <c r="H12" s="251"/>
      <c r="I12" s="251"/>
      <c r="J12" s="894">
        <v>1</v>
      </c>
      <c r="K12" s="1072" t="s">
        <v>441</v>
      </c>
      <c r="L12" s="896" t="s">
        <v>442</v>
      </c>
      <c r="M12" s="896" t="s">
        <v>443</v>
      </c>
      <c r="N12" s="896"/>
      <c r="O12" s="899" t="s">
        <v>444</v>
      </c>
      <c r="P12" s="896"/>
      <c r="Q12" s="899" t="s">
        <v>445</v>
      </c>
      <c r="R12" s="897"/>
      <c r="S12" s="897"/>
      <c r="T12" s="897"/>
      <c r="U12" s="897"/>
      <c r="V12" s="897"/>
      <c r="W12" s="897" t="s">
        <v>2467</v>
      </c>
      <c r="X12" s="897"/>
      <c r="Y12" s="897"/>
      <c r="Z12" s="897"/>
      <c r="AA12" s="897"/>
      <c r="AB12" s="1204"/>
      <c r="AC12" s="1378" t="s">
        <v>446</v>
      </c>
      <c r="AD12" s="1452"/>
      <c r="AE12" s="1452"/>
      <c r="AF12" s="1453"/>
      <c r="AG12" s="1205"/>
      <c r="AH12" s="9"/>
      <c r="AI12" s="9"/>
      <c r="AJ12" s="248"/>
    </row>
    <row r="13" spans="1:36" ht="39">
      <c r="A13" s="248"/>
      <c r="B13" s="1366"/>
      <c r="C13" s="707" t="s">
        <v>2470</v>
      </c>
      <c r="D13" s="702" t="s">
        <v>2471</v>
      </c>
      <c r="E13" s="1206" t="s">
        <v>2215</v>
      </c>
      <c r="F13" s="273" t="s">
        <v>2293</v>
      </c>
      <c r="G13" s="34"/>
      <c r="H13" s="251"/>
      <c r="I13" s="251"/>
      <c r="J13" s="894">
        <v>2</v>
      </c>
      <c r="K13" s="1072" t="s">
        <v>447</v>
      </c>
      <c r="L13" s="1075" t="s">
        <v>448</v>
      </c>
      <c r="M13" s="896" t="s">
        <v>443</v>
      </c>
      <c r="N13" s="896"/>
      <c r="O13" s="897"/>
      <c r="P13" s="899" t="s">
        <v>444</v>
      </c>
      <c r="Q13" s="899" t="s">
        <v>445</v>
      </c>
      <c r="R13" s="897"/>
      <c r="S13" s="897"/>
      <c r="T13" s="897"/>
      <c r="U13" s="897"/>
      <c r="V13" s="897"/>
      <c r="W13" s="897" t="s">
        <v>2467</v>
      </c>
      <c r="X13" s="897"/>
      <c r="Y13" s="897"/>
      <c r="Z13" s="897"/>
      <c r="AA13" s="897"/>
      <c r="AB13" s="1204"/>
      <c r="AC13" s="1338" t="s">
        <v>449</v>
      </c>
      <c r="AD13" s="1411"/>
      <c r="AE13" s="1411"/>
      <c r="AF13" s="1412"/>
      <c r="AG13" s="1205"/>
      <c r="AH13" s="9"/>
      <c r="AI13" s="9"/>
      <c r="AJ13" s="248"/>
    </row>
    <row r="14" spans="1:36" ht="34.5">
      <c r="A14" s="248"/>
      <c r="B14" s="1366"/>
      <c r="C14" s="707" t="s">
        <v>2295</v>
      </c>
      <c r="D14" s="702" t="s">
        <v>2296</v>
      </c>
      <c r="E14" s="1206" t="s">
        <v>2216</v>
      </c>
      <c r="F14" s="273" t="s">
        <v>2293</v>
      </c>
      <c r="G14" s="34"/>
      <c r="H14" s="251"/>
      <c r="I14" s="251"/>
      <c r="J14" s="894">
        <v>3</v>
      </c>
      <c r="K14" s="1072" t="s">
        <v>450</v>
      </c>
      <c r="L14" s="896"/>
      <c r="M14" s="896" t="s">
        <v>451</v>
      </c>
      <c r="N14" s="896"/>
      <c r="O14" s="899" t="s">
        <v>444</v>
      </c>
      <c r="P14" s="896" t="s">
        <v>452</v>
      </c>
      <c r="Q14" s="899" t="s">
        <v>445</v>
      </c>
      <c r="R14" s="897"/>
      <c r="S14" s="897"/>
      <c r="T14" s="897"/>
      <c r="U14" s="897"/>
      <c r="V14" s="897"/>
      <c r="W14" s="897">
        <v>1</v>
      </c>
      <c r="X14" s="897"/>
      <c r="Y14" s="897"/>
      <c r="Z14" s="897"/>
      <c r="AA14" s="897"/>
      <c r="AB14" s="1207" t="s">
        <v>453</v>
      </c>
      <c r="AC14" s="1338" t="s">
        <v>454</v>
      </c>
      <c r="AD14" s="1411"/>
      <c r="AE14" s="1411"/>
      <c r="AF14" s="1412"/>
      <c r="AG14" s="1205"/>
      <c r="AH14" s="9"/>
      <c r="AI14" s="9"/>
      <c r="AJ14" s="248"/>
    </row>
    <row r="15" spans="1:36" ht="54">
      <c r="A15" s="248"/>
      <c r="B15" s="1366"/>
      <c r="C15" s="707" t="s">
        <v>2299</v>
      </c>
      <c r="D15" s="702" t="s">
        <v>2301</v>
      </c>
      <c r="E15" s="1206" t="s">
        <v>2217</v>
      </c>
      <c r="F15" s="275" t="s">
        <v>2302</v>
      </c>
      <c r="G15" s="34"/>
      <c r="H15" s="251"/>
      <c r="I15" s="251"/>
      <c r="J15" s="894">
        <v>4</v>
      </c>
      <c r="K15" s="1072" t="s">
        <v>455</v>
      </c>
      <c r="L15" s="897"/>
      <c r="M15" s="1075" t="s">
        <v>456</v>
      </c>
      <c r="N15" s="896"/>
      <c r="O15" s="897"/>
      <c r="P15" s="896" t="s">
        <v>457</v>
      </c>
      <c r="Q15" s="899" t="s">
        <v>445</v>
      </c>
      <c r="R15" s="897"/>
      <c r="S15" s="897"/>
      <c r="T15" s="897"/>
      <c r="U15" s="897"/>
      <c r="V15" s="897"/>
      <c r="W15" s="897">
        <v>1</v>
      </c>
      <c r="X15" s="897"/>
      <c r="Y15" s="897"/>
      <c r="Z15" s="897"/>
      <c r="AA15" s="897"/>
      <c r="AB15" s="1207" t="s">
        <v>453</v>
      </c>
      <c r="AC15" s="1338" t="s">
        <v>458</v>
      </c>
      <c r="AD15" s="1411"/>
      <c r="AE15" s="1411"/>
      <c r="AF15" s="1412"/>
      <c r="AG15" s="1205"/>
      <c r="AH15" s="9"/>
      <c r="AI15" s="9"/>
      <c r="AJ15" s="248"/>
    </row>
    <row r="16" spans="1:36" ht="19.5">
      <c r="A16" s="248"/>
      <c r="B16" s="1366"/>
      <c r="C16" s="707" t="s">
        <v>1945</v>
      </c>
      <c r="D16" s="702" t="s">
        <v>1634</v>
      </c>
      <c r="E16" s="1206" t="s">
        <v>2218</v>
      </c>
      <c r="F16" s="273" t="s">
        <v>2293</v>
      </c>
      <c r="G16" s="34"/>
      <c r="H16" s="251"/>
      <c r="I16" s="251"/>
      <c r="J16" s="894">
        <v>5</v>
      </c>
      <c r="K16" s="1072" t="s">
        <v>459</v>
      </c>
      <c r="L16" s="896" t="s">
        <v>442</v>
      </c>
      <c r="M16" s="896"/>
      <c r="N16" s="896" t="s">
        <v>443</v>
      </c>
      <c r="O16" s="899" t="s">
        <v>460</v>
      </c>
      <c r="P16" s="897"/>
      <c r="Q16" s="899" t="s">
        <v>461</v>
      </c>
      <c r="R16" s="897"/>
      <c r="S16" s="897"/>
      <c r="T16" s="897"/>
      <c r="U16" s="897"/>
      <c r="V16" s="897"/>
      <c r="W16" s="897">
        <v>1</v>
      </c>
      <c r="X16" s="897"/>
      <c r="Y16" s="897"/>
      <c r="Z16" s="897"/>
      <c r="AA16" s="897"/>
      <c r="AB16" s="1204"/>
      <c r="AC16" s="1338" t="s">
        <v>462</v>
      </c>
      <c r="AD16" s="1411"/>
      <c r="AE16" s="1411"/>
      <c r="AF16" s="1412"/>
      <c r="AG16" s="1205"/>
      <c r="AH16" s="9"/>
      <c r="AI16" s="9"/>
      <c r="AJ16" s="248"/>
    </row>
    <row r="17" spans="1:36" ht="39">
      <c r="A17" s="248"/>
      <c r="B17" s="1366"/>
      <c r="C17" s="707" t="s">
        <v>1635</v>
      </c>
      <c r="D17" s="702" t="s">
        <v>1636</v>
      </c>
      <c r="E17" s="1206" t="s">
        <v>1637</v>
      </c>
      <c r="F17" s="273" t="s">
        <v>2293</v>
      </c>
      <c r="G17" s="34"/>
      <c r="H17" s="251"/>
      <c r="I17" s="251"/>
      <c r="J17" s="894">
        <v>6</v>
      </c>
      <c r="K17" s="1072" t="s">
        <v>463</v>
      </c>
      <c r="L17" s="1075" t="s">
        <v>448</v>
      </c>
      <c r="M17" s="896"/>
      <c r="N17" s="896" t="s">
        <v>443</v>
      </c>
      <c r="O17" s="280" t="s">
        <v>464</v>
      </c>
      <c r="P17" s="899" t="s">
        <v>444</v>
      </c>
      <c r="Q17" s="899" t="s">
        <v>461</v>
      </c>
      <c r="R17" s="897"/>
      <c r="S17" s="897"/>
      <c r="T17" s="897"/>
      <c r="U17" s="897"/>
      <c r="V17" s="897"/>
      <c r="W17" s="897" t="s">
        <v>2467</v>
      </c>
      <c r="X17" s="897"/>
      <c r="Y17" s="897"/>
      <c r="Z17" s="897"/>
      <c r="AA17" s="897"/>
      <c r="AB17" s="1204"/>
      <c r="AC17" s="1338" t="s">
        <v>465</v>
      </c>
      <c r="AD17" s="1411"/>
      <c r="AE17" s="1411"/>
      <c r="AF17" s="1412"/>
      <c r="AG17" s="1205"/>
      <c r="AH17" s="9"/>
      <c r="AI17" s="9"/>
      <c r="AJ17" s="248"/>
    </row>
    <row r="18" spans="1:36" ht="34.5">
      <c r="A18" s="248"/>
      <c r="B18" s="1366"/>
      <c r="C18" s="707" t="s">
        <v>2309</v>
      </c>
      <c r="D18" s="702" t="s">
        <v>2310</v>
      </c>
      <c r="E18" s="1206" t="s">
        <v>1638</v>
      </c>
      <c r="F18" s="273" t="s">
        <v>2293</v>
      </c>
      <c r="G18" s="34"/>
      <c r="H18" s="251"/>
      <c r="I18" s="251"/>
      <c r="J18" s="894">
        <v>7</v>
      </c>
      <c r="K18" s="1072" t="s">
        <v>466</v>
      </c>
      <c r="L18" s="896"/>
      <c r="M18" s="896"/>
      <c r="N18" s="896" t="s">
        <v>451</v>
      </c>
      <c r="O18" s="899" t="s">
        <v>467</v>
      </c>
      <c r="P18" s="896" t="s">
        <v>452</v>
      </c>
      <c r="Q18" s="899" t="s">
        <v>468</v>
      </c>
      <c r="R18" s="897"/>
      <c r="S18" s="897"/>
      <c r="T18" s="897"/>
      <c r="U18" s="897"/>
      <c r="V18" s="897"/>
      <c r="W18" s="897">
        <v>1</v>
      </c>
      <c r="X18" s="897"/>
      <c r="Y18" s="897"/>
      <c r="Z18" s="897"/>
      <c r="AA18" s="897"/>
      <c r="AB18" s="1207" t="s">
        <v>453</v>
      </c>
      <c r="AC18" s="1338" t="s">
        <v>469</v>
      </c>
      <c r="AD18" s="1411"/>
      <c r="AE18" s="1411"/>
      <c r="AF18" s="1412"/>
      <c r="AG18" s="1205"/>
      <c r="AH18" s="9"/>
      <c r="AI18" s="9"/>
      <c r="AJ18" s="248"/>
    </row>
    <row r="19" spans="1:36" ht="54">
      <c r="A19" s="248"/>
      <c r="B19" s="1366"/>
      <c r="C19" s="707" t="s">
        <v>2313</v>
      </c>
      <c r="D19" s="702" t="s">
        <v>1639</v>
      </c>
      <c r="E19" s="1206" t="s">
        <v>1640</v>
      </c>
      <c r="F19" s="273" t="s">
        <v>2293</v>
      </c>
      <c r="G19" s="34"/>
      <c r="H19" s="251"/>
      <c r="I19" s="251"/>
      <c r="J19" s="894">
        <v>8</v>
      </c>
      <c r="K19" s="1072" t="s">
        <v>470</v>
      </c>
      <c r="L19" s="896"/>
      <c r="M19" s="896"/>
      <c r="N19" s="1075" t="s">
        <v>456</v>
      </c>
      <c r="O19" s="280" t="s">
        <v>471</v>
      </c>
      <c r="P19" s="1075" t="s">
        <v>457</v>
      </c>
      <c r="Q19" s="1208" t="s">
        <v>472</v>
      </c>
      <c r="R19" s="897"/>
      <c r="S19" s="897"/>
      <c r="T19" s="897"/>
      <c r="U19" s="897"/>
      <c r="V19" s="897"/>
      <c r="W19" s="897">
        <v>1</v>
      </c>
      <c r="X19" s="897"/>
      <c r="Y19" s="897"/>
      <c r="Z19" s="897"/>
      <c r="AA19" s="897"/>
      <c r="AB19" s="1207" t="s">
        <v>453</v>
      </c>
      <c r="AC19" s="1338" t="s">
        <v>473</v>
      </c>
      <c r="AD19" s="1411"/>
      <c r="AE19" s="1411"/>
      <c r="AF19" s="1412"/>
      <c r="AG19" s="1205"/>
      <c r="AH19" s="9"/>
      <c r="AI19" s="9"/>
      <c r="AJ19" s="248"/>
    </row>
    <row r="20" spans="1:36" ht="19.5">
      <c r="A20" s="248"/>
      <c r="B20" s="1366"/>
      <c r="C20" s="707" t="s">
        <v>2078</v>
      </c>
      <c r="D20" s="702" t="s">
        <v>2483</v>
      </c>
      <c r="E20" s="1206" t="s">
        <v>2220</v>
      </c>
      <c r="F20" s="273" t="s">
        <v>2320</v>
      </c>
      <c r="G20" s="34"/>
      <c r="H20" s="251"/>
      <c r="I20" s="251"/>
      <c r="J20" s="894">
        <v>9</v>
      </c>
      <c r="K20" s="1072" t="s">
        <v>474</v>
      </c>
      <c r="L20" s="896" t="s">
        <v>442</v>
      </c>
      <c r="M20" s="896"/>
      <c r="N20" s="896"/>
      <c r="O20" s="899" t="s">
        <v>475</v>
      </c>
      <c r="P20" s="897"/>
      <c r="Q20" s="899" t="s">
        <v>476</v>
      </c>
      <c r="R20" s="897"/>
      <c r="S20" s="897"/>
      <c r="T20" s="897"/>
      <c r="U20" s="896" t="s">
        <v>443</v>
      </c>
      <c r="V20" s="897"/>
      <c r="W20" s="897">
        <v>1</v>
      </c>
      <c r="X20" s="897"/>
      <c r="Y20" s="897"/>
      <c r="Z20" s="897"/>
      <c r="AA20" s="897"/>
      <c r="AB20" s="1204"/>
      <c r="AC20" s="1338" t="s">
        <v>477</v>
      </c>
      <c r="AD20" s="1411"/>
      <c r="AE20" s="1411"/>
      <c r="AF20" s="1412"/>
      <c r="AG20" s="1205"/>
      <c r="AH20" s="9"/>
      <c r="AI20" s="9"/>
      <c r="AJ20" s="248"/>
    </row>
    <row r="21" spans="1:36" ht="39">
      <c r="A21" s="248"/>
      <c r="B21" s="1366"/>
      <c r="C21" s="58" t="s">
        <v>1035</v>
      </c>
      <c r="D21" s="702" t="s">
        <v>2485</v>
      </c>
      <c r="E21" s="1206" t="s">
        <v>2221</v>
      </c>
      <c r="F21" s="273" t="s">
        <v>2320</v>
      </c>
      <c r="G21" s="34"/>
      <c r="H21" s="251"/>
      <c r="I21" s="251"/>
      <c r="J21" s="894">
        <v>10</v>
      </c>
      <c r="K21" s="1072" t="s">
        <v>478</v>
      </c>
      <c r="L21" s="1075" t="s">
        <v>448</v>
      </c>
      <c r="M21" s="896"/>
      <c r="N21" s="896"/>
      <c r="O21" s="280" t="s">
        <v>479</v>
      </c>
      <c r="P21" s="899" t="s">
        <v>444</v>
      </c>
      <c r="Q21" s="899" t="s">
        <v>476</v>
      </c>
      <c r="R21" s="897"/>
      <c r="S21" s="897"/>
      <c r="T21" s="897"/>
      <c r="U21" s="896" t="s">
        <v>443</v>
      </c>
      <c r="V21" s="897"/>
      <c r="W21" s="897" t="s">
        <v>2467</v>
      </c>
      <c r="X21" s="897"/>
      <c r="Y21" s="897"/>
      <c r="Z21" s="897"/>
      <c r="AA21" s="897"/>
      <c r="AB21" s="1204"/>
      <c r="AC21" s="1338" t="s">
        <v>480</v>
      </c>
      <c r="AD21" s="1411"/>
      <c r="AE21" s="1411"/>
      <c r="AF21" s="1412"/>
      <c r="AG21" s="1205"/>
      <c r="AH21" s="9"/>
      <c r="AI21" s="9"/>
      <c r="AJ21" s="248"/>
    </row>
    <row r="22" spans="1:36" ht="34.5">
      <c r="A22" s="248"/>
      <c r="B22" s="1366"/>
      <c r="C22" s="707" t="s">
        <v>2137</v>
      </c>
      <c r="D22" s="702" t="s">
        <v>2497</v>
      </c>
      <c r="E22" s="1206" t="s">
        <v>2225</v>
      </c>
      <c r="F22" s="273" t="s">
        <v>2498</v>
      </c>
      <c r="G22" s="34"/>
      <c r="H22" s="251"/>
      <c r="I22" s="251"/>
      <c r="J22" s="894">
        <v>11</v>
      </c>
      <c r="K22" s="1072" t="s">
        <v>481</v>
      </c>
      <c r="L22" s="896"/>
      <c r="M22" s="896"/>
      <c r="N22" s="896"/>
      <c r="O22" s="899" t="s">
        <v>482</v>
      </c>
      <c r="P22" s="896" t="s">
        <v>452</v>
      </c>
      <c r="Q22" s="899" t="s">
        <v>483</v>
      </c>
      <c r="R22" s="897"/>
      <c r="S22" s="897"/>
      <c r="T22" s="897"/>
      <c r="U22" s="896" t="s">
        <v>451</v>
      </c>
      <c r="V22" s="897"/>
      <c r="W22" s="897">
        <v>1</v>
      </c>
      <c r="X22" s="897"/>
      <c r="Y22" s="897"/>
      <c r="Z22" s="897"/>
      <c r="AA22" s="897"/>
      <c r="AB22" s="1207" t="s">
        <v>453</v>
      </c>
      <c r="AC22" s="1338" t="s">
        <v>484</v>
      </c>
      <c r="AD22" s="1411"/>
      <c r="AE22" s="1411"/>
      <c r="AF22" s="1412"/>
      <c r="AG22" s="1205"/>
      <c r="AH22" s="9"/>
      <c r="AI22" s="9"/>
      <c r="AJ22" s="248"/>
    </row>
    <row r="23" spans="1:36" ht="54">
      <c r="A23" s="248"/>
      <c r="B23" s="1366"/>
      <c r="C23" s="707" t="s">
        <v>2335</v>
      </c>
      <c r="D23" s="702" t="s">
        <v>2501</v>
      </c>
      <c r="E23" s="1206" t="s">
        <v>2228</v>
      </c>
      <c r="F23" s="273" t="s">
        <v>2293</v>
      </c>
      <c r="G23" s="34"/>
      <c r="H23" s="251"/>
      <c r="I23" s="251"/>
      <c r="J23" s="894">
        <v>12</v>
      </c>
      <c r="K23" s="1072" t="s">
        <v>485</v>
      </c>
      <c r="L23" s="896"/>
      <c r="M23" s="896"/>
      <c r="N23" s="896"/>
      <c r="O23" s="280" t="s">
        <v>486</v>
      </c>
      <c r="P23" s="896" t="s">
        <v>457</v>
      </c>
      <c r="Q23" s="1208" t="s">
        <v>487</v>
      </c>
      <c r="R23" s="897"/>
      <c r="S23" s="897"/>
      <c r="T23" s="897"/>
      <c r="U23" s="1075" t="s">
        <v>456</v>
      </c>
      <c r="V23" s="897"/>
      <c r="W23" s="897">
        <v>1</v>
      </c>
      <c r="X23" s="897"/>
      <c r="Y23" s="897"/>
      <c r="Z23" s="897"/>
      <c r="AA23" s="897"/>
      <c r="AB23" s="1207" t="s">
        <v>453</v>
      </c>
      <c r="AC23" s="1338" t="s">
        <v>488</v>
      </c>
      <c r="AD23" s="1411"/>
      <c r="AE23" s="1411"/>
      <c r="AF23" s="1412"/>
      <c r="AG23" s="1205"/>
      <c r="AH23" s="9"/>
      <c r="AI23" s="9"/>
      <c r="AJ23" s="248"/>
    </row>
    <row r="24" spans="1:36" ht="19.5">
      <c r="A24" s="248"/>
      <c r="B24" s="1366"/>
      <c r="C24" s="707" t="s">
        <v>2341</v>
      </c>
      <c r="D24" s="702" t="s">
        <v>1641</v>
      </c>
      <c r="E24" s="1206" t="s">
        <v>2230</v>
      </c>
      <c r="F24" s="273" t="s">
        <v>2293</v>
      </c>
      <c r="G24" s="34"/>
      <c r="H24" s="251"/>
      <c r="I24" s="251"/>
      <c r="J24" s="894">
        <v>13</v>
      </c>
      <c r="K24" s="1072" t="s">
        <v>489</v>
      </c>
      <c r="L24" s="897"/>
      <c r="M24" s="897"/>
      <c r="N24" s="897"/>
      <c r="O24" s="897"/>
      <c r="P24" s="897"/>
      <c r="Q24" s="896"/>
      <c r="R24" s="897"/>
      <c r="S24" s="897"/>
      <c r="T24" s="897"/>
      <c r="U24" s="897">
        <v>1</v>
      </c>
      <c r="V24" s="1209">
        <v>-1</v>
      </c>
      <c r="W24" s="896"/>
      <c r="X24" s="897"/>
      <c r="Y24" s="897"/>
      <c r="Z24" s="896"/>
      <c r="AA24" s="897"/>
      <c r="AB24" s="1210"/>
      <c r="AC24" s="1338" t="s">
        <v>490</v>
      </c>
      <c r="AD24" s="1411"/>
      <c r="AE24" s="1411"/>
      <c r="AF24" s="1412"/>
      <c r="AG24" s="9"/>
      <c r="AH24" s="9"/>
      <c r="AI24" s="9"/>
      <c r="AJ24" s="248"/>
    </row>
    <row r="25" spans="1:36" ht="39">
      <c r="A25" s="248"/>
      <c r="B25" s="1366"/>
      <c r="C25" s="707" t="s">
        <v>2505</v>
      </c>
      <c r="D25" s="702" t="s">
        <v>2506</v>
      </c>
      <c r="E25" s="1206" t="s">
        <v>2233</v>
      </c>
      <c r="F25" s="273" t="s">
        <v>2293</v>
      </c>
      <c r="G25" s="34"/>
      <c r="H25" s="251"/>
      <c r="I25" s="251"/>
      <c r="J25" s="894">
        <v>14</v>
      </c>
      <c r="K25" s="1072" t="s">
        <v>1642</v>
      </c>
      <c r="L25" s="897"/>
      <c r="M25" s="897"/>
      <c r="N25" s="897"/>
      <c r="O25" s="1211" t="s">
        <v>491</v>
      </c>
      <c r="P25" s="897"/>
      <c r="Q25" s="279" t="s">
        <v>492</v>
      </c>
      <c r="R25" s="897"/>
      <c r="S25" s="47" t="s">
        <v>1643</v>
      </c>
      <c r="T25" s="897"/>
      <c r="U25" s="897"/>
      <c r="V25" s="899" t="s">
        <v>493</v>
      </c>
      <c r="W25" s="897" t="s">
        <v>2488</v>
      </c>
      <c r="X25" s="897"/>
      <c r="Y25" s="897"/>
      <c r="Z25" s="897"/>
      <c r="AA25" s="897"/>
      <c r="AB25" s="1204"/>
      <c r="AC25" s="1338" t="s">
        <v>749</v>
      </c>
      <c r="AD25" s="1411"/>
      <c r="AE25" s="1411"/>
      <c r="AF25" s="1412"/>
      <c r="AG25" s="1205"/>
      <c r="AH25" s="9"/>
      <c r="AI25" s="9"/>
      <c r="AJ25" s="248"/>
    </row>
    <row r="26" spans="1:36" ht="19.5">
      <c r="A26" s="248"/>
      <c r="B26" s="1366"/>
      <c r="C26" s="707" t="s">
        <v>2139</v>
      </c>
      <c r="D26" s="702" t="s">
        <v>2508</v>
      </c>
      <c r="E26" s="1206" t="s">
        <v>2236</v>
      </c>
      <c r="F26" s="273" t="s">
        <v>2293</v>
      </c>
      <c r="G26" s="34"/>
      <c r="H26" s="251"/>
      <c r="I26" s="251"/>
      <c r="J26" s="883">
        <v>15</v>
      </c>
      <c r="K26" s="1079" t="s">
        <v>494</v>
      </c>
      <c r="L26" s="885"/>
      <c r="M26" s="885">
        <v>1</v>
      </c>
      <c r="N26" s="885" t="s">
        <v>2488</v>
      </c>
      <c r="O26" s="268" t="s">
        <v>1644</v>
      </c>
      <c r="P26" s="885"/>
      <c r="Q26" s="1212" t="s">
        <v>1645</v>
      </c>
      <c r="R26" s="885"/>
      <c r="S26" s="54"/>
      <c r="T26" s="885"/>
      <c r="U26" s="885"/>
      <c r="V26" s="885"/>
      <c r="W26" s="885"/>
      <c r="X26" s="885"/>
      <c r="Y26" s="885"/>
      <c r="Z26" s="885"/>
      <c r="AA26" s="885"/>
      <c r="AB26" s="1213"/>
      <c r="AC26" s="1338" t="s">
        <v>495</v>
      </c>
      <c r="AD26" s="1411"/>
      <c r="AE26" s="1411"/>
      <c r="AF26" s="1412"/>
      <c r="AG26" s="1205"/>
      <c r="AH26" s="9"/>
      <c r="AI26" s="9"/>
      <c r="AJ26" s="248"/>
    </row>
    <row r="27" spans="1:36" ht="39.75" thickBot="1">
      <c r="A27" s="248"/>
      <c r="B27" s="1367"/>
      <c r="C27" s="1214" t="s">
        <v>2510</v>
      </c>
      <c r="D27" s="78" t="s">
        <v>2511</v>
      </c>
      <c r="E27" s="1215" t="s">
        <v>2243</v>
      </c>
      <c r="F27" s="79" t="s">
        <v>2498</v>
      </c>
      <c r="G27" s="79"/>
      <c r="H27" s="251"/>
      <c r="I27" s="251"/>
      <c r="J27" s="922">
        <v>16</v>
      </c>
      <c r="K27" s="1083" t="s">
        <v>496</v>
      </c>
      <c r="L27" s="924" t="s">
        <v>497</v>
      </c>
      <c r="M27" s="925"/>
      <c r="N27" s="925"/>
      <c r="O27" s="924" t="s">
        <v>498</v>
      </c>
      <c r="P27" s="924" t="s">
        <v>499</v>
      </c>
      <c r="Q27" s="926" t="s">
        <v>445</v>
      </c>
      <c r="R27" s="925"/>
      <c r="S27" s="40"/>
      <c r="T27" s="925"/>
      <c r="U27" s="925"/>
      <c r="V27" s="925"/>
      <c r="W27" s="925"/>
      <c r="X27" s="925"/>
      <c r="Y27" s="925"/>
      <c r="Z27" s="925"/>
      <c r="AA27" s="925" t="s">
        <v>2467</v>
      </c>
      <c r="AB27" s="1216"/>
      <c r="AC27" s="1338" t="s">
        <v>500</v>
      </c>
      <c r="AD27" s="1411"/>
      <c r="AE27" s="1411"/>
      <c r="AF27" s="1412"/>
      <c r="AG27" s="1205"/>
      <c r="AH27" s="9"/>
      <c r="AI27" s="9"/>
      <c r="AJ27" s="248"/>
    </row>
    <row r="28" spans="1:36" ht="39">
      <c r="A28" s="248"/>
      <c r="B28" s="1366" t="s">
        <v>2349</v>
      </c>
      <c r="C28" s="918" t="s">
        <v>197</v>
      </c>
      <c r="D28" s="778" t="s">
        <v>1646</v>
      </c>
      <c r="E28" s="1217" t="s">
        <v>1647</v>
      </c>
      <c r="F28" s="419" t="s">
        <v>1040</v>
      </c>
      <c r="G28" s="1003">
        <v>0.666</v>
      </c>
      <c r="H28" s="251"/>
      <c r="I28" s="251"/>
      <c r="J28" s="922">
        <v>17</v>
      </c>
      <c r="K28" s="1083" t="s">
        <v>501</v>
      </c>
      <c r="L28" s="925"/>
      <c r="M28" s="925"/>
      <c r="N28" s="925"/>
      <c r="O28" s="1218" t="s">
        <v>502</v>
      </c>
      <c r="P28" s="925"/>
      <c r="Q28" s="303" t="s">
        <v>503</v>
      </c>
      <c r="R28" s="925"/>
      <c r="S28" s="50" t="s">
        <v>1648</v>
      </c>
      <c r="T28" s="925"/>
      <c r="U28" s="925"/>
      <c r="V28" s="926" t="s">
        <v>504</v>
      </c>
      <c r="W28" s="925"/>
      <c r="X28" s="925"/>
      <c r="Y28" s="925"/>
      <c r="Z28" s="925"/>
      <c r="AA28" s="925">
        <v>-1</v>
      </c>
      <c r="AB28" s="1216"/>
      <c r="AC28" s="1338" t="s">
        <v>505</v>
      </c>
      <c r="AD28" s="1411"/>
      <c r="AE28" s="1411"/>
      <c r="AF28" s="1412"/>
      <c r="AG28" s="1205"/>
      <c r="AH28" s="9"/>
      <c r="AI28" s="9"/>
      <c r="AJ28" s="248"/>
    </row>
    <row r="29" spans="1:36" ht="19.5">
      <c r="A29" s="248"/>
      <c r="B29" s="1366"/>
      <c r="C29" s="918" t="s">
        <v>205</v>
      </c>
      <c r="D29" s="404" t="s">
        <v>1649</v>
      </c>
      <c r="E29" s="1219" t="s">
        <v>1650</v>
      </c>
      <c r="F29" s="322" t="s">
        <v>1040</v>
      </c>
      <c r="G29" s="724">
        <v>0.54</v>
      </c>
      <c r="H29" s="251"/>
      <c r="I29" s="251"/>
      <c r="J29" s="901">
        <v>18</v>
      </c>
      <c r="K29" s="1087" t="s">
        <v>506</v>
      </c>
      <c r="L29" s="903" t="s">
        <v>507</v>
      </c>
      <c r="M29" s="904"/>
      <c r="N29" s="904"/>
      <c r="O29" s="905" t="s">
        <v>444</v>
      </c>
      <c r="P29" s="904"/>
      <c r="Q29" s="1220" t="s">
        <v>508</v>
      </c>
      <c r="R29" s="904"/>
      <c r="S29" s="904"/>
      <c r="T29" s="904"/>
      <c r="U29" s="904"/>
      <c r="V29" s="904"/>
      <c r="W29" s="904"/>
      <c r="X29" s="904">
        <v>1</v>
      </c>
      <c r="Y29" s="297" t="s">
        <v>509</v>
      </c>
      <c r="Z29" s="903" t="s">
        <v>510</v>
      </c>
      <c r="AA29" s="904"/>
      <c r="AB29" s="1221"/>
      <c r="AC29" s="1338" t="s">
        <v>511</v>
      </c>
      <c r="AD29" s="1411"/>
      <c r="AE29" s="1411"/>
      <c r="AF29" s="1412"/>
      <c r="AG29" s="1205"/>
      <c r="AH29" s="9"/>
      <c r="AI29" s="9"/>
      <c r="AJ29" s="248"/>
    </row>
    <row r="30" spans="1:36" ht="39">
      <c r="A30" s="248"/>
      <c r="B30" s="1366"/>
      <c r="C30" s="565" t="s">
        <v>620</v>
      </c>
      <c r="D30" s="404" t="s">
        <v>512</v>
      </c>
      <c r="E30" s="1219" t="s">
        <v>1651</v>
      </c>
      <c r="F30" s="322" t="s">
        <v>1202</v>
      </c>
      <c r="G30" s="724">
        <v>0.08</v>
      </c>
      <c r="H30" s="251"/>
      <c r="I30" s="251"/>
      <c r="J30" s="901">
        <v>19</v>
      </c>
      <c r="K30" s="1087" t="s">
        <v>513</v>
      </c>
      <c r="L30" s="1091" t="s">
        <v>514</v>
      </c>
      <c r="M30" s="904"/>
      <c r="N30" s="904"/>
      <c r="O30" s="904"/>
      <c r="P30" s="905" t="s">
        <v>444</v>
      </c>
      <c r="Q30" s="903" t="s">
        <v>515</v>
      </c>
      <c r="R30" s="904"/>
      <c r="S30" s="904"/>
      <c r="T30" s="904"/>
      <c r="U30" s="904"/>
      <c r="V30" s="904"/>
      <c r="W30" s="904"/>
      <c r="X30" s="904" t="s">
        <v>2467</v>
      </c>
      <c r="Y30" s="297" t="s">
        <v>509</v>
      </c>
      <c r="Z30" s="903" t="s">
        <v>510</v>
      </c>
      <c r="AA30" s="904"/>
      <c r="AB30" s="1221"/>
      <c r="AC30" s="1338" t="s">
        <v>516</v>
      </c>
      <c r="AD30" s="1411"/>
      <c r="AE30" s="1411"/>
      <c r="AF30" s="1412"/>
      <c r="AG30" s="1205"/>
      <c r="AH30" s="9"/>
      <c r="AI30" s="9"/>
      <c r="AJ30" s="248"/>
    </row>
    <row r="31" spans="1:36" ht="19.5">
      <c r="A31" s="248"/>
      <c r="B31" s="1366"/>
      <c r="C31" s="427" t="s">
        <v>626</v>
      </c>
      <c r="D31" s="428" t="s">
        <v>1652</v>
      </c>
      <c r="E31" s="1222" t="s">
        <v>1653</v>
      </c>
      <c r="F31" s="338" t="s">
        <v>1204</v>
      </c>
      <c r="G31" s="733">
        <v>0.666</v>
      </c>
      <c r="H31" s="251"/>
      <c r="I31" s="251"/>
      <c r="J31" s="901">
        <v>20</v>
      </c>
      <c r="K31" s="1087" t="s">
        <v>517</v>
      </c>
      <c r="L31" s="903" t="s">
        <v>507</v>
      </c>
      <c r="M31" s="904"/>
      <c r="N31" s="904"/>
      <c r="O31" s="905" t="s">
        <v>444</v>
      </c>
      <c r="P31" s="904"/>
      <c r="Q31" s="904"/>
      <c r="R31" s="904"/>
      <c r="S31" s="904"/>
      <c r="T31" s="904"/>
      <c r="U31" s="904"/>
      <c r="V31" s="904"/>
      <c r="W31" s="904"/>
      <c r="X31" s="904" t="s">
        <v>2467</v>
      </c>
      <c r="Y31" s="905" t="s">
        <v>445</v>
      </c>
      <c r="Z31" s="903" t="s">
        <v>510</v>
      </c>
      <c r="AA31" s="904"/>
      <c r="AB31" s="1221"/>
      <c r="AC31" s="1338" t="s">
        <v>518</v>
      </c>
      <c r="AD31" s="1411"/>
      <c r="AE31" s="1411"/>
      <c r="AF31" s="1412"/>
      <c r="AG31" s="1205"/>
      <c r="AH31" s="9"/>
      <c r="AI31" s="9"/>
      <c r="AJ31" s="248"/>
    </row>
    <row r="32" spans="1:36" ht="39">
      <c r="A32" s="248"/>
      <c r="B32" s="1366"/>
      <c r="C32" s="427" t="s">
        <v>627</v>
      </c>
      <c r="D32" s="428" t="s">
        <v>1654</v>
      </c>
      <c r="E32" s="1222" t="s">
        <v>1655</v>
      </c>
      <c r="F32" s="338" t="s">
        <v>1204</v>
      </c>
      <c r="G32" s="733">
        <v>0.54</v>
      </c>
      <c r="H32" s="251"/>
      <c r="I32" s="251"/>
      <c r="J32" s="901">
        <v>21</v>
      </c>
      <c r="K32" s="1087" t="s">
        <v>519</v>
      </c>
      <c r="L32" s="1091" t="s">
        <v>514</v>
      </c>
      <c r="M32" s="904"/>
      <c r="N32" s="904"/>
      <c r="O32" s="904"/>
      <c r="P32" s="905" t="s">
        <v>444</v>
      </c>
      <c r="Q32" s="904"/>
      <c r="R32" s="904"/>
      <c r="S32" s="904"/>
      <c r="T32" s="904"/>
      <c r="U32" s="904"/>
      <c r="V32" s="904"/>
      <c r="W32" s="904"/>
      <c r="X32" s="904" t="s">
        <v>2467</v>
      </c>
      <c r="Y32" s="905" t="s">
        <v>445</v>
      </c>
      <c r="Z32" s="903" t="s">
        <v>510</v>
      </c>
      <c r="AA32" s="904"/>
      <c r="AB32" s="1221"/>
      <c r="AC32" s="1338" t="s">
        <v>520</v>
      </c>
      <c r="AD32" s="1411"/>
      <c r="AE32" s="1411"/>
      <c r="AF32" s="1412"/>
      <c r="AG32" s="1205"/>
      <c r="AH32" s="9"/>
      <c r="AI32" s="9"/>
      <c r="AJ32" s="248"/>
    </row>
    <row r="33" spans="1:36" ht="54">
      <c r="A33" s="248"/>
      <c r="B33" s="1366"/>
      <c r="C33" s="427" t="s">
        <v>224</v>
      </c>
      <c r="D33" s="428" t="s">
        <v>1656</v>
      </c>
      <c r="E33" s="1222" t="s">
        <v>1657</v>
      </c>
      <c r="F33" s="338" t="s">
        <v>1206</v>
      </c>
      <c r="G33" s="733">
        <v>0.75</v>
      </c>
      <c r="H33" s="251"/>
      <c r="I33" s="251"/>
      <c r="J33" s="901">
        <v>22</v>
      </c>
      <c r="K33" s="1087" t="s">
        <v>521</v>
      </c>
      <c r="L33" s="904"/>
      <c r="M33" s="904"/>
      <c r="N33" s="904"/>
      <c r="O33" s="905" t="s">
        <v>444</v>
      </c>
      <c r="P33" s="903" t="s">
        <v>522</v>
      </c>
      <c r="Q33" s="903" t="s">
        <v>523</v>
      </c>
      <c r="R33" s="904"/>
      <c r="S33" s="904"/>
      <c r="T33" s="904"/>
      <c r="U33" s="904"/>
      <c r="V33" s="904"/>
      <c r="W33" s="904"/>
      <c r="X33" s="904" t="s">
        <v>2467</v>
      </c>
      <c r="Y33" s="297" t="s">
        <v>524</v>
      </c>
      <c r="Z33" s="903" t="s">
        <v>525</v>
      </c>
      <c r="AA33" s="904"/>
      <c r="AB33" s="1221" t="s">
        <v>526</v>
      </c>
      <c r="AC33" s="1338" t="s">
        <v>527</v>
      </c>
      <c r="AD33" s="1411"/>
      <c r="AE33" s="1411"/>
      <c r="AF33" s="1412"/>
      <c r="AG33" s="1205"/>
      <c r="AH33" s="9"/>
      <c r="AI33" s="9"/>
      <c r="AJ33" s="248"/>
    </row>
    <row r="34" spans="1:36" ht="54">
      <c r="A34" s="248"/>
      <c r="B34" s="1366"/>
      <c r="C34" s="427" t="s">
        <v>227</v>
      </c>
      <c r="D34" s="428" t="s">
        <v>1658</v>
      </c>
      <c r="E34" s="1222" t="s">
        <v>1659</v>
      </c>
      <c r="F34" s="338" t="s">
        <v>1206</v>
      </c>
      <c r="G34" s="733">
        <v>0.61</v>
      </c>
      <c r="H34" s="251"/>
      <c r="I34" s="251"/>
      <c r="J34" s="901">
        <v>23</v>
      </c>
      <c r="K34" s="1087" t="s">
        <v>528</v>
      </c>
      <c r="L34" s="904"/>
      <c r="M34" s="904"/>
      <c r="N34" s="904"/>
      <c r="O34" s="904"/>
      <c r="P34" s="903" t="s">
        <v>529</v>
      </c>
      <c r="Q34" s="903" t="s">
        <v>523</v>
      </c>
      <c r="R34" s="904"/>
      <c r="S34" s="904"/>
      <c r="T34" s="904"/>
      <c r="U34" s="904"/>
      <c r="V34" s="904"/>
      <c r="W34" s="904"/>
      <c r="X34" s="904" t="s">
        <v>2467</v>
      </c>
      <c r="Y34" s="297" t="s">
        <v>524</v>
      </c>
      <c r="Z34" s="1091" t="s">
        <v>530</v>
      </c>
      <c r="AA34" s="904"/>
      <c r="AB34" s="1221" t="s">
        <v>526</v>
      </c>
      <c r="AC34" s="1338" t="s">
        <v>531</v>
      </c>
      <c r="AD34" s="1411"/>
      <c r="AE34" s="1411"/>
      <c r="AF34" s="1412"/>
      <c r="AG34" s="1205"/>
      <c r="AH34" s="9"/>
      <c r="AI34" s="9"/>
      <c r="AJ34" s="248"/>
    </row>
    <row r="35" spans="1:36" ht="39">
      <c r="A35" s="248"/>
      <c r="B35" s="1366"/>
      <c r="C35" s="427" t="s">
        <v>1207</v>
      </c>
      <c r="D35" s="428" t="s">
        <v>2538</v>
      </c>
      <c r="E35" s="1222" t="s">
        <v>1660</v>
      </c>
      <c r="F35" s="338" t="s">
        <v>1208</v>
      </c>
      <c r="G35" s="733">
        <v>0.5</v>
      </c>
      <c r="H35" s="251"/>
      <c r="I35" s="251"/>
      <c r="J35" s="901">
        <v>24</v>
      </c>
      <c r="K35" s="1087" t="s">
        <v>349</v>
      </c>
      <c r="L35" s="905" t="s">
        <v>532</v>
      </c>
      <c r="M35" s="904"/>
      <c r="N35" s="904"/>
      <c r="O35" s="295" t="s">
        <v>533</v>
      </c>
      <c r="P35" s="903"/>
      <c r="Q35" s="295" t="s">
        <v>534</v>
      </c>
      <c r="R35" s="291" t="s">
        <v>1661</v>
      </c>
      <c r="S35" s="291" t="s">
        <v>1662</v>
      </c>
      <c r="T35" s="904"/>
      <c r="U35" s="904"/>
      <c r="V35" s="904"/>
      <c r="W35" s="904"/>
      <c r="X35" s="904" t="s">
        <v>2488</v>
      </c>
      <c r="Y35" s="904"/>
      <c r="Z35" s="904"/>
      <c r="AA35" s="904"/>
      <c r="AB35" s="1223"/>
      <c r="AC35" s="1338" t="s">
        <v>535</v>
      </c>
      <c r="AD35" s="1411"/>
      <c r="AE35" s="1411"/>
      <c r="AF35" s="1412"/>
      <c r="AG35" s="1205"/>
      <c r="AH35" s="9"/>
      <c r="AI35" s="9"/>
      <c r="AJ35" s="248"/>
    </row>
    <row r="36" spans="1:36" ht="19.5">
      <c r="A36" s="248"/>
      <c r="B36" s="1366"/>
      <c r="C36" s="746" t="s">
        <v>240</v>
      </c>
      <c r="D36" s="428" t="s">
        <v>536</v>
      </c>
      <c r="E36" s="1222" t="s">
        <v>1663</v>
      </c>
      <c r="F36" s="338" t="s">
        <v>629</v>
      </c>
      <c r="G36" s="733">
        <v>0.25</v>
      </c>
      <c r="H36" s="251"/>
      <c r="I36" s="251"/>
      <c r="J36" s="901">
        <v>25</v>
      </c>
      <c r="K36" s="1087" t="s">
        <v>537</v>
      </c>
      <c r="L36" s="904"/>
      <c r="M36" s="904"/>
      <c r="N36" s="904"/>
      <c r="O36" s="908"/>
      <c r="P36" s="903"/>
      <c r="Q36" s="904" t="s">
        <v>2467</v>
      </c>
      <c r="R36" s="904"/>
      <c r="S36" s="904"/>
      <c r="T36" s="904"/>
      <c r="U36" s="904"/>
      <c r="V36" s="904"/>
      <c r="W36" s="904"/>
      <c r="X36" s="904"/>
      <c r="Y36" s="904" t="s">
        <v>2488</v>
      </c>
      <c r="Z36" s="904"/>
      <c r="AA36" s="904"/>
      <c r="AB36" s="1223"/>
      <c r="AC36" s="1338" t="s">
        <v>538</v>
      </c>
      <c r="AD36" s="1411"/>
      <c r="AE36" s="1411"/>
      <c r="AF36" s="1412"/>
      <c r="AG36" s="1205"/>
      <c r="AH36" s="9"/>
      <c r="AI36" s="9"/>
      <c r="AJ36" s="248"/>
    </row>
    <row r="37" spans="1:36" ht="19.5">
      <c r="A37" s="248"/>
      <c r="B37" s="1366"/>
      <c r="C37" s="746" t="s">
        <v>628</v>
      </c>
      <c r="D37" s="428" t="s">
        <v>539</v>
      </c>
      <c r="E37" s="1222" t="s">
        <v>1664</v>
      </c>
      <c r="F37" s="338" t="s">
        <v>629</v>
      </c>
      <c r="G37" s="733">
        <v>0.2</v>
      </c>
      <c r="H37" s="251"/>
      <c r="I37" s="251"/>
      <c r="J37" s="901">
        <v>26</v>
      </c>
      <c r="K37" s="1087" t="s">
        <v>540</v>
      </c>
      <c r="L37" s="904"/>
      <c r="M37" s="904"/>
      <c r="N37" s="904"/>
      <c r="O37" s="908" t="s">
        <v>541</v>
      </c>
      <c r="P37" s="903"/>
      <c r="Q37" s="1224" t="s">
        <v>542</v>
      </c>
      <c r="R37" s="904"/>
      <c r="S37" s="904"/>
      <c r="T37" s="904"/>
      <c r="U37" s="904"/>
      <c r="V37" s="904">
        <v>1</v>
      </c>
      <c r="W37" s="904"/>
      <c r="X37" s="904"/>
      <c r="Y37" s="904"/>
      <c r="Z37" s="904" t="s">
        <v>2488</v>
      </c>
      <c r="AA37" s="904"/>
      <c r="AB37" s="1223"/>
      <c r="AC37" s="1338" t="s">
        <v>543</v>
      </c>
      <c r="AD37" s="1411"/>
      <c r="AE37" s="1411"/>
      <c r="AF37" s="1412"/>
      <c r="AG37" s="1205"/>
      <c r="AH37" s="9"/>
      <c r="AI37" s="9"/>
      <c r="AJ37" s="248"/>
    </row>
    <row r="38" spans="1:36" ht="58.5">
      <c r="A38" s="248"/>
      <c r="B38" s="1366"/>
      <c r="C38" s="1102" t="s">
        <v>1209</v>
      </c>
      <c r="D38" s="459" t="s">
        <v>1665</v>
      </c>
      <c r="E38" s="1225" t="s">
        <v>1795</v>
      </c>
      <c r="F38" s="153" t="s">
        <v>1210</v>
      </c>
      <c r="G38" s="94">
        <v>0.15</v>
      </c>
      <c r="H38" s="251"/>
      <c r="I38" s="251"/>
      <c r="J38" s="901">
        <v>27</v>
      </c>
      <c r="K38" s="1087" t="s">
        <v>361</v>
      </c>
      <c r="L38" s="904"/>
      <c r="M38" s="904"/>
      <c r="N38" s="904"/>
      <c r="O38" s="295" t="s">
        <v>544</v>
      </c>
      <c r="P38" s="903" t="s">
        <v>545</v>
      </c>
      <c r="Q38" s="295" t="s">
        <v>546</v>
      </c>
      <c r="R38" s="291" t="s">
        <v>1661</v>
      </c>
      <c r="S38" s="291" t="s">
        <v>1662</v>
      </c>
      <c r="T38" s="904"/>
      <c r="U38" s="904"/>
      <c r="V38" s="905" t="s">
        <v>547</v>
      </c>
      <c r="W38" s="904"/>
      <c r="X38" s="904" t="s">
        <v>2488</v>
      </c>
      <c r="Y38" s="904"/>
      <c r="Z38" s="904"/>
      <c r="AA38" s="904"/>
      <c r="AB38" s="1226" t="s">
        <v>548</v>
      </c>
      <c r="AC38" s="1338" t="s">
        <v>549</v>
      </c>
      <c r="AD38" s="1411"/>
      <c r="AE38" s="1411"/>
      <c r="AF38" s="1412"/>
      <c r="AG38" s="1205"/>
      <c r="AH38" s="9"/>
      <c r="AI38" s="9"/>
      <c r="AJ38" s="248"/>
    </row>
    <row r="39" spans="1:36" ht="19.5">
      <c r="A39" s="248"/>
      <c r="B39" s="1366"/>
      <c r="C39" s="1102" t="s">
        <v>849</v>
      </c>
      <c r="D39" s="459" t="s">
        <v>550</v>
      </c>
      <c r="E39" s="1225" t="s">
        <v>1797</v>
      </c>
      <c r="F39" s="153" t="s">
        <v>850</v>
      </c>
      <c r="G39" s="94">
        <v>0.08</v>
      </c>
      <c r="H39" s="251"/>
      <c r="I39" s="251"/>
      <c r="J39" s="901">
        <v>28</v>
      </c>
      <c r="K39" s="1087" t="s">
        <v>551</v>
      </c>
      <c r="L39" s="904"/>
      <c r="M39" s="904"/>
      <c r="N39" s="904"/>
      <c r="O39" s="904"/>
      <c r="P39" s="904"/>
      <c r="Q39" s="904" t="s">
        <v>2467</v>
      </c>
      <c r="R39" s="904"/>
      <c r="S39" s="904"/>
      <c r="T39" s="904"/>
      <c r="U39" s="904"/>
      <c r="V39" s="904"/>
      <c r="W39" s="904"/>
      <c r="X39" s="904"/>
      <c r="Y39" s="904" t="s">
        <v>2488</v>
      </c>
      <c r="Z39" s="904"/>
      <c r="AA39" s="904"/>
      <c r="AB39" s="1223"/>
      <c r="AC39" s="1338" t="s">
        <v>552</v>
      </c>
      <c r="AD39" s="1411"/>
      <c r="AE39" s="1411"/>
      <c r="AF39" s="1412"/>
      <c r="AG39" s="1205"/>
      <c r="AH39" s="9"/>
      <c r="AI39" s="9"/>
      <c r="AJ39" s="248"/>
    </row>
    <row r="40" spans="1:36" ht="19.5">
      <c r="A40" s="248"/>
      <c r="B40" s="1366"/>
      <c r="C40" s="1111" t="s">
        <v>1234</v>
      </c>
      <c r="D40" s="370" t="s">
        <v>1666</v>
      </c>
      <c r="E40" s="1227" t="s">
        <v>1798</v>
      </c>
      <c r="F40" s="371" t="s">
        <v>1235</v>
      </c>
      <c r="G40" s="755">
        <v>0.011</v>
      </c>
      <c r="H40" s="251"/>
      <c r="I40" s="251"/>
      <c r="J40" s="901">
        <v>29</v>
      </c>
      <c r="K40" s="1087" t="s">
        <v>553</v>
      </c>
      <c r="L40" s="904"/>
      <c r="M40" s="904"/>
      <c r="N40" s="904"/>
      <c r="O40" s="908" t="s">
        <v>541</v>
      </c>
      <c r="P40" s="903"/>
      <c r="Q40" s="1224" t="s">
        <v>542</v>
      </c>
      <c r="R40" s="904"/>
      <c r="S40" s="904"/>
      <c r="T40" s="904"/>
      <c r="U40" s="904"/>
      <c r="V40" s="904">
        <v>1</v>
      </c>
      <c r="W40" s="904"/>
      <c r="X40" s="904"/>
      <c r="Y40" s="904"/>
      <c r="Z40" s="904" t="s">
        <v>2488</v>
      </c>
      <c r="AA40" s="904"/>
      <c r="AB40" s="1223"/>
      <c r="AC40" s="1338" t="s">
        <v>554</v>
      </c>
      <c r="AD40" s="1411"/>
      <c r="AE40" s="1411"/>
      <c r="AF40" s="1412"/>
      <c r="AG40" s="1205"/>
      <c r="AH40" s="9"/>
      <c r="AI40" s="9"/>
      <c r="AJ40" s="248"/>
    </row>
    <row r="41" spans="1:36" ht="58.5">
      <c r="A41" s="248"/>
      <c r="B41" s="1366"/>
      <c r="C41" s="1111" t="s">
        <v>1240</v>
      </c>
      <c r="D41" s="370" t="s">
        <v>1667</v>
      </c>
      <c r="E41" s="1227" t="s">
        <v>1799</v>
      </c>
      <c r="F41" s="371" t="s">
        <v>1241</v>
      </c>
      <c r="G41" s="755">
        <v>0.035</v>
      </c>
      <c r="H41" s="251"/>
      <c r="I41" s="251"/>
      <c r="J41" s="901">
        <v>30</v>
      </c>
      <c r="K41" s="1087" t="s">
        <v>372</v>
      </c>
      <c r="L41" s="904"/>
      <c r="M41" s="904"/>
      <c r="N41" s="904"/>
      <c r="O41" s="295" t="s">
        <v>555</v>
      </c>
      <c r="P41" s="904"/>
      <c r="Q41" s="295" t="s">
        <v>556</v>
      </c>
      <c r="R41" s="291" t="s">
        <v>1661</v>
      </c>
      <c r="S41" s="291" t="s">
        <v>1662</v>
      </c>
      <c r="T41" s="904"/>
      <c r="U41" s="904"/>
      <c r="V41" s="905" t="s">
        <v>557</v>
      </c>
      <c r="W41" s="904"/>
      <c r="X41" s="904" t="s">
        <v>2488</v>
      </c>
      <c r="Y41" s="904"/>
      <c r="Z41" s="904"/>
      <c r="AA41" s="904"/>
      <c r="AB41" s="1223"/>
      <c r="AC41" s="1338" t="s">
        <v>558</v>
      </c>
      <c r="AD41" s="1411"/>
      <c r="AE41" s="1411"/>
      <c r="AF41" s="1412"/>
      <c r="AG41" s="1205"/>
      <c r="AH41" s="9"/>
      <c r="AI41" s="9"/>
      <c r="AJ41" s="248"/>
    </row>
    <row r="42" spans="1:36" ht="19.5">
      <c r="A42" s="248"/>
      <c r="B42" s="1366"/>
      <c r="C42" s="1111" t="s">
        <v>1246</v>
      </c>
      <c r="D42" s="370" t="s">
        <v>1668</v>
      </c>
      <c r="E42" s="1227" t="s">
        <v>1800</v>
      </c>
      <c r="F42" s="371" t="s">
        <v>1247</v>
      </c>
      <c r="G42" s="755">
        <v>0.068</v>
      </c>
      <c r="H42" s="251"/>
      <c r="I42" s="251"/>
      <c r="J42" s="901">
        <v>31</v>
      </c>
      <c r="K42" s="1087" t="s">
        <v>559</v>
      </c>
      <c r="L42" s="904"/>
      <c r="M42" s="904"/>
      <c r="N42" s="904"/>
      <c r="O42" s="904"/>
      <c r="P42" s="904"/>
      <c r="Q42" s="904" t="s">
        <v>2467</v>
      </c>
      <c r="R42" s="904"/>
      <c r="S42" s="904"/>
      <c r="T42" s="904"/>
      <c r="U42" s="904"/>
      <c r="V42" s="904"/>
      <c r="W42" s="904"/>
      <c r="X42" s="904"/>
      <c r="Y42" s="904" t="s">
        <v>2488</v>
      </c>
      <c r="Z42" s="904"/>
      <c r="AA42" s="904"/>
      <c r="AB42" s="1223"/>
      <c r="AC42" s="1338" t="s">
        <v>560</v>
      </c>
      <c r="AD42" s="1411"/>
      <c r="AE42" s="1411"/>
      <c r="AF42" s="1412"/>
      <c r="AG42" s="1205"/>
      <c r="AH42" s="9"/>
      <c r="AI42" s="9"/>
      <c r="AJ42" s="248"/>
    </row>
    <row r="43" spans="1:36" ht="19.5">
      <c r="A43" s="248"/>
      <c r="B43" s="1366"/>
      <c r="C43" s="1111" t="s">
        <v>1251</v>
      </c>
      <c r="D43" s="370" t="s">
        <v>1669</v>
      </c>
      <c r="E43" s="1227" t="s">
        <v>1801</v>
      </c>
      <c r="F43" s="371" t="s">
        <v>1252</v>
      </c>
      <c r="G43" s="755">
        <v>0.05</v>
      </c>
      <c r="H43" s="251"/>
      <c r="I43" s="251"/>
      <c r="J43" s="901">
        <v>32</v>
      </c>
      <c r="K43" s="1087" t="s">
        <v>561</v>
      </c>
      <c r="L43" s="904"/>
      <c r="M43" s="904"/>
      <c r="N43" s="904"/>
      <c r="O43" s="908" t="s">
        <v>541</v>
      </c>
      <c r="P43" s="903"/>
      <c r="Q43" s="1224" t="s">
        <v>542</v>
      </c>
      <c r="R43" s="904"/>
      <c r="S43" s="904"/>
      <c r="T43" s="904"/>
      <c r="U43" s="904"/>
      <c r="V43" s="904">
        <v>1</v>
      </c>
      <c r="W43" s="904"/>
      <c r="X43" s="904"/>
      <c r="Y43" s="904"/>
      <c r="Z43" s="904" t="s">
        <v>2488</v>
      </c>
      <c r="AA43" s="904"/>
      <c r="AB43" s="1223"/>
      <c r="AC43" s="1338" t="s">
        <v>562</v>
      </c>
      <c r="AD43" s="1411"/>
      <c r="AE43" s="1411"/>
      <c r="AF43" s="1412"/>
      <c r="AG43" s="1205"/>
      <c r="AH43" s="9"/>
      <c r="AI43" s="9"/>
      <c r="AJ43" s="248"/>
    </row>
    <row r="44" spans="1:36" ht="19.5">
      <c r="A44" s="248"/>
      <c r="B44" s="1366"/>
      <c r="C44" s="1111" t="s">
        <v>1255</v>
      </c>
      <c r="D44" s="370" t="s">
        <v>1670</v>
      </c>
      <c r="E44" s="1227" t="s">
        <v>1802</v>
      </c>
      <c r="F44" s="371" t="s">
        <v>1046</v>
      </c>
      <c r="G44" s="755">
        <v>0.068</v>
      </c>
      <c r="H44" s="251"/>
      <c r="I44" s="251"/>
      <c r="J44" s="901">
        <v>33</v>
      </c>
      <c r="K44" s="1087" t="s">
        <v>563</v>
      </c>
      <c r="L44" s="904"/>
      <c r="M44" s="904"/>
      <c r="N44" s="904"/>
      <c r="O44" s="904"/>
      <c r="P44" s="904"/>
      <c r="Q44" s="904" t="s">
        <v>2467</v>
      </c>
      <c r="R44" s="904"/>
      <c r="S44" s="904"/>
      <c r="T44" s="904"/>
      <c r="U44" s="904"/>
      <c r="V44" s="904"/>
      <c r="W44" s="904"/>
      <c r="X44" s="904"/>
      <c r="Y44" s="904" t="s">
        <v>2488</v>
      </c>
      <c r="Z44" s="904"/>
      <c r="AA44" s="904"/>
      <c r="AB44" s="1223"/>
      <c r="AC44" s="1338" t="s">
        <v>564</v>
      </c>
      <c r="AD44" s="1411"/>
      <c r="AE44" s="1411"/>
      <c r="AF44" s="1412"/>
      <c r="AG44" s="1205"/>
      <c r="AH44" s="9"/>
      <c r="AI44" s="9"/>
      <c r="AJ44" s="248"/>
    </row>
    <row r="45" spans="1:36" ht="19.5">
      <c r="A45" s="248"/>
      <c r="B45" s="1366"/>
      <c r="C45" s="1114" t="s">
        <v>2371</v>
      </c>
      <c r="D45" s="370" t="s">
        <v>1671</v>
      </c>
      <c r="E45" s="1227" t="s">
        <v>1672</v>
      </c>
      <c r="F45" s="371" t="s">
        <v>1047</v>
      </c>
      <c r="G45" s="755">
        <v>0.068</v>
      </c>
      <c r="H45" s="251"/>
      <c r="I45" s="251"/>
      <c r="J45" s="901">
        <v>34</v>
      </c>
      <c r="K45" s="1087" t="s">
        <v>565</v>
      </c>
      <c r="L45" s="904"/>
      <c r="M45" s="904"/>
      <c r="N45" s="904"/>
      <c r="O45" s="904"/>
      <c r="P45" s="904"/>
      <c r="Q45" s="904" t="s">
        <v>2467</v>
      </c>
      <c r="R45" s="904"/>
      <c r="S45" s="904"/>
      <c r="T45" s="904"/>
      <c r="U45" s="904"/>
      <c r="V45" s="904"/>
      <c r="W45" s="904"/>
      <c r="X45" s="904"/>
      <c r="Y45" s="904" t="s">
        <v>2488</v>
      </c>
      <c r="Z45" s="904"/>
      <c r="AA45" s="904"/>
      <c r="AB45" s="1223"/>
      <c r="AC45" s="1338" t="s">
        <v>566</v>
      </c>
      <c r="AD45" s="1411"/>
      <c r="AE45" s="1411"/>
      <c r="AF45" s="1412"/>
      <c r="AG45" s="1205"/>
      <c r="AH45" s="9"/>
      <c r="AI45" s="9"/>
      <c r="AJ45" s="248"/>
    </row>
    <row r="46" spans="1:36" ht="20.25" thickBot="1">
      <c r="A46" s="248"/>
      <c r="B46" s="1366"/>
      <c r="C46" s="1228" t="s">
        <v>1262</v>
      </c>
      <c r="D46" s="376" t="s">
        <v>1673</v>
      </c>
      <c r="E46" s="1229" t="s">
        <v>1803</v>
      </c>
      <c r="F46" s="378" t="s">
        <v>1263</v>
      </c>
      <c r="G46" s="763">
        <v>0</v>
      </c>
      <c r="H46" s="251"/>
      <c r="I46" s="251"/>
      <c r="J46" s="1230">
        <v>35</v>
      </c>
      <c r="K46" s="1105" t="s">
        <v>567</v>
      </c>
      <c r="L46" s="1106"/>
      <c r="M46" s="1106" t="s">
        <v>2488</v>
      </c>
      <c r="N46" s="1106"/>
      <c r="O46" s="1106"/>
      <c r="P46" s="1106"/>
      <c r="Q46" s="1107" t="s">
        <v>2500</v>
      </c>
      <c r="R46" s="1106"/>
      <c r="S46" s="1106"/>
      <c r="T46" s="1106"/>
      <c r="U46" s="1106"/>
      <c r="V46" s="1106"/>
      <c r="W46" s="1106"/>
      <c r="X46" s="1106"/>
      <c r="Y46" s="1108" t="s">
        <v>1148</v>
      </c>
      <c r="Z46" s="1106">
        <v>1</v>
      </c>
      <c r="AA46" s="1106"/>
      <c r="AB46" s="1231"/>
      <c r="AC46" s="1341" t="s">
        <v>568</v>
      </c>
      <c r="AD46" s="1413"/>
      <c r="AE46" s="1413"/>
      <c r="AF46" s="1414"/>
      <c r="AG46" s="1205"/>
      <c r="AH46" s="9"/>
      <c r="AI46" s="9"/>
      <c r="AJ46" s="248"/>
    </row>
    <row r="47" spans="1:36" ht="20.25" thickBot="1">
      <c r="A47" s="248"/>
      <c r="B47" s="1366"/>
      <c r="C47" s="1228" t="s">
        <v>1268</v>
      </c>
      <c r="D47" s="376" t="s">
        <v>1674</v>
      </c>
      <c r="E47" s="1229" t="s">
        <v>1804</v>
      </c>
      <c r="F47" s="378" t="s">
        <v>1269</v>
      </c>
      <c r="G47" s="763">
        <v>0</v>
      </c>
      <c r="H47" s="251"/>
      <c r="I47" s="251"/>
      <c r="J47" s="9"/>
      <c r="K47" s="1436" t="s">
        <v>2328</v>
      </c>
      <c r="L47" s="1437"/>
      <c r="M47" s="1437"/>
      <c r="N47" s="1437"/>
      <c r="O47" s="1437"/>
      <c r="P47" s="1437"/>
      <c r="Q47" s="1437"/>
      <c r="R47" s="1437"/>
      <c r="S47" s="1437"/>
      <c r="T47" s="1437"/>
      <c r="U47" s="1437"/>
      <c r="V47" s="1437"/>
      <c r="W47" s="1437"/>
      <c r="X47" s="1437"/>
      <c r="Y47" s="1437"/>
      <c r="Z47" s="1437"/>
      <c r="AA47" s="1437"/>
      <c r="AB47" s="1438"/>
      <c r="AC47" s="9"/>
      <c r="AD47" s="9"/>
      <c r="AE47" s="9"/>
      <c r="AF47" s="9"/>
      <c r="AG47" s="9"/>
      <c r="AH47" s="9"/>
      <c r="AI47" s="9"/>
      <c r="AJ47" s="248"/>
    </row>
    <row r="48" spans="1:36" ht="19.5">
      <c r="A48" s="248"/>
      <c r="B48" s="1366"/>
      <c r="C48" s="1228" t="s">
        <v>1273</v>
      </c>
      <c r="D48" s="376" t="s">
        <v>1675</v>
      </c>
      <c r="E48" s="1229" t="s">
        <v>1806</v>
      </c>
      <c r="F48" s="378" t="s">
        <v>1274</v>
      </c>
      <c r="G48" s="763">
        <v>0.021</v>
      </c>
      <c r="H48" s="251"/>
      <c r="I48" s="251"/>
      <c r="J48" s="9"/>
      <c r="K48" s="1232" t="s">
        <v>2332</v>
      </c>
      <c r="L48" s="1233">
        <v>-1</v>
      </c>
      <c r="M48" s="1233">
        <v>1</v>
      </c>
      <c r="N48" s="1233">
        <v>1</v>
      </c>
      <c r="O48" s="1233"/>
      <c r="P48" s="1234" t="s">
        <v>2333</v>
      </c>
      <c r="Q48" s="1233"/>
      <c r="R48" s="1233">
        <v>1</v>
      </c>
      <c r="S48" s="1233">
        <v>1</v>
      </c>
      <c r="T48" s="1233">
        <v>1</v>
      </c>
      <c r="U48" s="1233">
        <v>1</v>
      </c>
      <c r="V48" s="1233">
        <v>1</v>
      </c>
      <c r="W48" s="1233">
        <v>1</v>
      </c>
      <c r="X48" s="1233">
        <v>1</v>
      </c>
      <c r="Y48" s="1233"/>
      <c r="Z48" s="1233">
        <v>1</v>
      </c>
      <c r="AA48" s="1235">
        <v>1</v>
      </c>
      <c r="AB48" s="1236" t="s">
        <v>2334</v>
      </c>
      <c r="AC48" s="9"/>
      <c r="AD48" s="9"/>
      <c r="AE48" s="9"/>
      <c r="AF48" s="9"/>
      <c r="AG48" s="9"/>
      <c r="AH48" s="9"/>
      <c r="AI48" s="9"/>
      <c r="AJ48" s="248"/>
    </row>
    <row r="49" spans="1:36" ht="39">
      <c r="A49" s="248"/>
      <c r="B49" s="1366"/>
      <c r="C49" s="1228" t="s">
        <v>1279</v>
      </c>
      <c r="D49" s="376" t="s">
        <v>1676</v>
      </c>
      <c r="E49" s="1229" t="s">
        <v>1809</v>
      </c>
      <c r="F49" s="378" t="s">
        <v>1280</v>
      </c>
      <c r="G49" s="763">
        <v>0</v>
      </c>
      <c r="H49" s="251"/>
      <c r="I49" s="251"/>
      <c r="J49" s="9"/>
      <c r="K49" s="1237" t="s">
        <v>2338</v>
      </c>
      <c r="L49" s="1238"/>
      <c r="M49" s="1238"/>
      <c r="N49" s="1239" t="s">
        <v>1644</v>
      </c>
      <c r="O49" s="1238">
        <v>1</v>
      </c>
      <c r="P49" s="1238">
        <v>1</v>
      </c>
      <c r="Q49" s="1238"/>
      <c r="R49" s="1239" t="s">
        <v>1677</v>
      </c>
      <c r="S49" s="1239" t="s">
        <v>1678</v>
      </c>
      <c r="T49" s="1239" t="s">
        <v>1679</v>
      </c>
      <c r="U49" s="1239" t="s">
        <v>1680</v>
      </c>
      <c r="V49" s="1239" t="s">
        <v>1680</v>
      </c>
      <c r="W49" s="1239" t="s">
        <v>1681</v>
      </c>
      <c r="X49" s="1239" t="s">
        <v>1681</v>
      </c>
      <c r="Y49" s="1238"/>
      <c r="Z49" s="1238"/>
      <c r="AA49" s="1239" t="s">
        <v>1681</v>
      </c>
      <c r="AB49" s="1240">
        <v>1</v>
      </c>
      <c r="AC49" s="9"/>
      <c r="AD49" s="9"/>
      <c r="AE49" s="9"/>
      <c r="AF49" s="9"/>
      <c r="AG49" s="9"/>
      <c r="AH49" s="9"/>
      <c r="AI49" s="9"/>
      <c r="AJ49" s="248"/>
    </row>
    <row r="50" spans="1:36" ht="20.25" thickBot="1">
      <c r="A50" s="248"/>
      <c r="B50" s="1366"/>
      <c r="C50" s="1228" t="s">
        <v>1284</v>
      </c>
      <c r="D50" s="376" t="s">
        <v>1682</v>
      </c>
      <c r="E50" s="1229" t="s">
        <v>1810</v>
      </c>
      <c r="F50" s="378" t="s">
        <v>1285</v>
      </c>
      <c r="G50" s="763">
        <v>0.021</v>
      </c>
      <c r="H50" s="251"/>
      <c r="I50" s="251"/>
      <c r="J50" s="9"/>
      <c r="K50" s="1241" t="s">
        <v>2540</v>
      </c>
      <c r="L50" s="1242"/>
      <c r="M50" s="1242"/>
      <c r="N50" s="1243" t="s">
        <v>1683</v>
      </c>
      <c r="O50" s="1242"/>
      <c r="P50" s="1242"/>
      <c r="Q50" s="1242">
        <v>1</v>
      </c>
      <c r="R50" s="1243" t="s">
        <v>1684</v>
      </c>
      <c r="S50" s="1243" t="s">
        <v>1685</v>
      </c>
      <c r="T50" s="1243" t="s">
        <v>1686</v>
      </c>
      <c r="U50" s="1243" t="s">
        <v>1687</v>
      </c>
      <c r="V50" s="1243" t="s">
        <v>1687</v>
      </c>
      <c r="W50" s="1243" t="s">
        <v>1688</v>
      </c>
      <c r="X50" s="1243" t="s">
        <v>1688</v>
      </c>
      <c r="Y50" s="1242">
        <v>1</v>
      </c>
      <c r="Z50" s="1242"/>
      <c r="AA50" s="1243" t="s">
        <v>1688</v>
      </c>
      <c r="AB50" s="1244"/>
      <c r="AC50" s="9"/>
      <c r="AD50" s="9"/>
      <c r="AE50" s="9"/>
      <c r="AF50" s="9"/>
      <c r="AG50" s="9"/>
      <c r="AH50" s="9"/>
      <c r="AI50" s="9"/>
      <c r="AJ50" s="248"/>
    </row>
    <row r="51" spans="1:36" ht="19.5">
      <c r="A51" s="248"/>
      <c r="B51" s="1366"/>
      <c r="C51" s="1119" t="s">
        <v>1689</v>
      </c>
      <c r="D51" s="376" t="s">
        <v>1690</v>
      </c>
      <c r="E51" s="1229" t="s">
        <v>1691</v>
      </c>
      <c r="F51" s="378" t="s">
        <v>262</v>
      </c>
      <c r="G51" s="763">
        <v>0.021</v>
      </c>
      <c r="H51" s="251"/>
      <c r="I51" s="251"/>
      <c r="J51" s="9"/>
      <c r="K51" s="9"/>
      <c r="L51" s="9"/>
      <c r="M51" s="9"/>
      <c r="N51" s="9"/>
      <c r="O51" s="9"/>
      <c r="P51" s="9"/>
      <c r="Q51" s="9"/>
      <c r="R51" s="9"/>
      <c r="S51" s="9"/>
      <c r="T51" s="9"/>
      <c r="U51" s="9"/>
      <c r="V51" s="9"/>
      <c r="W51" s="9"/>
      <c r="X51" s="9"/>
      <c r="Y51" s="9"/>
      <c r="Z51" s="9"/>
      <c r="AA51" s="9"/>
      <c r="AB51" s="9"/>
      <c r="AC51" s="9"/>
      <c r="AD51" s="9"/>
      <c r="AE51" s="9"/>
      <c r="AF51" s="9"/>
      <c r="AG51" s="9"/>
      <c r="AH51" s="9"/>
      <c r="AI51" s="9"/>
      <c r="AJ51" s="248"/>
    </row>
    <row r="52" spans="1:36" ht="20.25" thickBot="1">
      <c r="A52" s="248"/>
      <c r="B52" s="1366"/>
      <c r="C52" s="585" t="s">
        <v>1488</v>
      </c>
      <c r="D52" s="102" t="s">
        <v>2374</v>
      </c>
      <c r="E52" s="102" t="s">
        <v>2374</v>
      </c>
      <c r="F52" s="1245" t="s">
        <v>2375</v>
      </c>
      <c r="G52" s="105">
        <f>40/14</f>
        <v>2.857142857142857</v>
      </c>
      <c r="H52" s="251"/>
      <c r="I52" s="251"/>
      <c r="J52" s="9"/>
      <c r="K52" s="9"/>
      <c r="L52" s="9"/>
      <c r="M52" s="9"/>
      <c r="N52" s="9"/>
      <c r="O52" s="9"/>
      <c r="P52" s="9"/>
      <c r="Q52" s="9"/>
      <c r="R52" s="9"/>
      <c r="S52" s="9"/>
      <c r="T52" s="9"/>
      <c r="U52" s="9"/>
      <c r="V52" s="9"/>
      <c r="W52" s="9"/>
      <c r="X52" s="9"/>
      <c r="Y52" s="9"/>
      <c r="Z52" s="9"/>
      <c r="AA52" s="9"/>
      <c r="AB52" s="9"/>
      <c r="AC52" s="9"/>
      <c r="AD52" s="9"/>
      <c r="AE52" s="9"/>
      <c r="AF52" s="9"/>
      <c r="AG52" s="9"/>
      <c r="AH52" s="9"/>
      <c r="AI52" s="9"/>
      <c r="AJ52" s="248"/>
    </row>
    <row r="53" spans="1:36" ht="30.75" thickBot="1">
      <c r="A53" s="248"/>
      <c r="B53" s="1366"/>
      <c r="C53" s="585" t="s">
        <v>1492</v>
      </c>
      <c r="D53" s="102" t="s">
        <v>2376</v>
      </c>
      <c r="E53" s="102" t="s">
        <v>2376</v>
      </c>
      <c r="F53" s="362" t="s">
        <v>2375</v>
      </c>
      <c r="G53" s="105">
        <f>-64/14</f>
        <v>-4.571428571428571</v>
      </c>
      <c r="H53" s="251"/>
      <c r="I53" s="251"/>
      <c r="J53" s="1405" t="s">
        <v>2353</v>
      </c>
      <c r="K53" s="1406"/>
      <c r="L53" s="1406"/>
      <c r="M53" s="1406"/>
      <c r="N53" s="1406"/>
      <c r="O53" s="1406"/>
      <c r="P53" s="1406"/>
      <c r="Q53" s="1406"/>
      <c r="R53" s="1406"/>
      <c r="S53" s="1406"/>
      <c r="T53" s="1406"/>
      <c r="U53" s="1406"/>
      <c r="V53" s="1406"/>
      <c r="W53" s="1406"/>
      <c r="X53" s="1406"/>
      <c r="Y53" s="1406"/>
      <c r="Z53" s="1406"/>
      <c r="AA53" s="1406"/>
      <c r="AB53" s="1406"/>
      <c r="AC53" s="1406"/>
      <c r="AD53" s="1406"/>
      <c r="AE53" s="1406"/>
      <c r="AF53" s="1407"/>
      <c r="AG53" s="1246"/>
      <c r="AH53" s="1246"/>
      <c r="AI53" s="1246"/>
      <c r="AJ53" s="875"/>
    </row>
    <row r="54" spans="1:36" ht="20.25" thickBot="1">
      <c r="A54" s="248"/>
      <c r="B54" s="1366"/>
      <c r="C54" s="588" t="s">
        <v>1498</v>
      </c>
      <c r="D54" s="1247" t="s">
        <v>2377</v>
      </c>
      <c r="E54" s="108" t="s">
        <v>2377</v>
      </c>
      <c r="F54" s="589" t="s">
        <v>2375</v>
      </c>
      <c r="G54" s="1248">
        <f>-24/14</f>
        <v>-1.7142857142857142</v>
      </c>
      <c r="H54" s="251"/>
      <c r="I54" s="251"/>
      <c r="J54" s="9"/>
      <c r="K54" s="9"/>
      <c r="L54" s="9"/>
      <c r="M54" s="9"/>
      <c r="N54" s="9"/>
      <c r="O54" s="9"/>
      <c r="P54" s="9"/>
      <c r="Q54" s="9"/>
      <c r="R54" s="9"/>
      <c r="S54" s="9"/>
      <c r="T54" s="9"/>
      <c r="U54" s="9"/>
      <c r="V54" s="9"/>
      <c r="W54" s="9"/>
      <c r="X54" s="9"/>
      <c r="Y54" s="9"/>
      <c r="Z54" s="9"/>
      <c r="AA54" s="9"/>
      <c r="AB54" s="9"/>
      <c r="AC54" s="9"/>
      <c r="AD54" s="9"/>
      <c r="AE54" s="9"/>
      <c r="AF54" s="9"/>
      <c r="AG54" s="9"/>
      <c r="AH54" s="9"/>
      <c r="AI54" s="9"/>
      <c r="AJ54" s="248"/>
    </row>
    <row r="55" spans="1:36" ht="39.75" thickBot="1">
      <c r="A55" s="248"/>
      <c r="B55" s="1365" t="s">
        <v>2380</v>
      </c>
      <c r="C55" s="1134" t="s">
        <v>318</v>
      </c>
      <c r="D55" s="1249" t="s">
        <v>569</v>
      </c>
      <c r="E55" s="1250" t="s">
        <v>1692</v>
      </c>
      <c r="F55" s="331" t="s">
        <v>1340</v>
      </c>
      <c r="G55" s="1251">
        <v>0.1</v>
      </c>
      <c r="H55" s="251"/>
      <c r="I55" s="251"/>
      <c r="J55" s="1200"/>
      <c r="K55" s="877"/>
      <c r="L55" s="259" t="s">
        <v>2365</v>
      </c>
      <c r="M55" s="259" t="s">
        <v>2556</v>
      </c>
      <c r="N55" s="259" t="s">
        <v>2451</v>
      </c>
      <c r="O55" s="259" t="s">
        <v>2557</v>
      </c>
      <c r="P55" s="259" t="s">
        <v>1793</v>
      </c>
      <c r="Q55" s="259" t="s">
        <v>2454</v>
      </c>
      <c r="R55" s="259" t="s">
        <v>2358</v>
      </c>
      <c r="S55" s="259" t="s">
        <v>2364</v>
      </c>
      <c r="T55" s="259" t="s">
        <v>2360</v>
      </c>
      <c r="U55" s="259" t="s">
        <v>1693</v>
      </c>
      <c r="V55" s="259" t="s">
        <v>2361</v>
      </c>
      <c r="W55" s="259" t="s">
        <v>2362</v>
      </c>
      <c r="X55" s="259" t="s">
        <v>2457</v>
      </c>
      <c r="Y55" s="259" t="s">
        <v>2559</v>
      </c>
      <c r="Z55" s="259" t="s">
        <v>2560</v>
      </c>
      <c r="AA55" s="259" t="s">
        <v>2363</v>
      </c>
      <c r="AB55" s="1201" t="s">
        <v>2287</v>
      </c>
      <c r="AC55" s="1449" t="s">
        <v>2288</v>
      </c>
      <c r="AD55" s="1450"/>
      <c r="AE55" s="1450"/>
      <c r="AF55" s="1451"/>
      <c r="AG55" s="9"/>
      <c r="AH55" s="9"/>
      <c r="AI55" s="9"/>
      <c r="AJ55" s="248"/>
    </row>
    <row r="56" spans="1:36" ht="34.5">
      <c r="A56" s="248"/>
      <c r="B56" s="1366"/>
      <c r="C56" s="403" t="s">
        <v>570</v>
      </c>
      <c r="D56" s="1252" t="s">
        <v>1694</v>
      </c>
      <c r="E56" s="1219" t="s">
        <v>1695</v>
      </c>
      <c r="F56" s="322" t="s">
        <v>571</v>
      </c>
      <c r="G56" s="1003">
        <v>0.17</v>
      </c>
      <c r="H56" s="251"/>
      <c r="I56" s="251"/>
      <c r="J56" s="894">
        <v>1</v>
      </c>
      <c r="K56" s="1072" t="s">
        <v>572</v>
      </c>
      <c r="L56" s="896" t="s">
        <v>269</v>
      </c>
      <c r="M56" s="896" t="s">
        <v>266</v>
      </c>
      <c r="N56" s="896"/>
      <c r="O56" s="899" t="s">
        <v>1236</v>
      </c>
      <c r="P56" s="896"/>
      <c r="Q56" s="899" t="s">
        <v>1237</v>
      </c>
      <c r="R56" s="897"/>
      <c r="S56" s="897"/>
      <c r="T56" s="897"/>
      <c r="U56" s="897"/>
      <c r="V56" s="897"/>
      <c r="W56" s="897">
        <v>1</v>
      </c>
      <c r="X56" s="897"/>
      <c r="Y56" s="897"/>
      <c r="Z56" s="897"/>
      <c r="AA56" s="897"/>
      <c r="AB56" s="1204"/>
      <c r="AC56" s="1378" t="s">
        <v>573</v>
      </c>
      <c r="AD56" s="1452"/>
      <c r="AE56" s="1452"/>
      <c r="AF56" s="1453"/>
      <c r="AG56" s="9"/>
      <c r="AH56" s="9"/>
      <c r="AI56" s="9"/>
      <c r="AJ56" s="248"/>
    </row>
    <row r="57" spans="1:36" ht="54">
      <c r="A57" s="248"/>
      <c r="B57" s="1366"/>
      <c r="C57" s="403" t="s">
        <v>1325</v>
      </c>
      <c r="D57" s="404" t="s">
        <v>2391</v>
      </c>
      <c r="E57" s="1219" t="s">
        <v>1834</v>
      </c>
      <c r="F57" s="322" t="s">
        <v>1077</v>
      </c>
      <c r="G57" s="724" t="s">
        <v>1696</v>
      </c>
      <c r="H57" s="251"/>
      <c r="I57" s="251"/>
      <c r="J57" s="894">
        <v>2</v>
      </c>
      <c r="K57" s="1072" t="s">
        <v>1697</v>
      </c>
      <c r="L57" s="1075" t="s">
        <v>574</v>
      </c>
      <c r="M57" s="896" t="s">
        <v>266</v>
      </c>
      <c r="N57" s="896"/>
      <c r="O57" s="897"/>
      <c r="P57" s="899" t="s">
        <v>1236</v>
      </c>
      <c r="Q57" s="899" t="s">
        <v>1237</v>
      </c>
      <c r="R57" s="897"/>
      <c r="S57" s="897"/>
      <c r="T57" s="897"/>
      <c r="U57" s="897"/>
      <c r="V57" s="897"/>
      <c r="W57" s="897">
        <v>1</v>
      </c>
      <c r="X57" s="897"/>
      <c r="Y57" s="897"/>
      <c r="Z57" s="897"/>
      <c r="AA57" s="897"/>
      <c r="AB57" s="1204"/>
      <c r="AC57" s="1338" t="s">
        <v>575</v>
      </c>
      <c r="AD57" s="1411"/>
      <c r="AE57" s="1411"/>
      <c r="AF57" s="1412"/>
      <c r="AG57" s="9"/>
      <c r="AH57" s="9"/>
      <c r="AI57" s="9"/>
      <c r="AJ57" s="248"/>
    </row>
    <row r="58" spans="1:36" ht="54">
      <c r="A58" s="248"/>
      <c r="B58" s="1366"/>
      <c r="C58" s="403" t="s">
        <v>1326</v>
      </c>
      <c r="D58" s="404" t="s">
        <v>1698</v>
      </c>
      <c r="E58" s="1219" t="s">
        <v>1835</v>
      </c>
      <c r="F58" s="322" t="s">
        <v>2389</v>
      </c>
      <c r="G58" s="724" t="s">
        <v>1699</v>
      </c>
      <c r="H58" s="251"/>
      <c r="I58" s="251"/>
      <c r="J58" s="894">
        <v>3</v>
      </c>
      <c r="K58" s="1072" t="s">
        <v>576</v>
      </c>
      <c r="L58" s="896"/>
      <c r="M58" s="896" t="s">
        <v>273</v>
      </c>
      <c r="N58" s="896"/>
      <c r="O58" s="899" t="s">
        <v>1236</v>
      </c>
      <c r="P58" s="896" t="s">
        <v>274</v>
      </c>
      <c r="Q58" s="899" t="s">
        <v>1237</v>
      </c>
      <c r="R58" s="897"/>
      <c r="S58" s="897"/>
      <c r="T58" s="897"/>
      <c r="U58" s="897"/>
      <c r="V58" s="897"/>
      <c r="W58" s="897">
        <v>1</v>
      </c>
      <c r="X58" s="897"/>
      <c r="Y58" s="897"/>
      <c r="Z58" s="897"/>
      <c r="AA58" s="897"/>
      <c r="AB58" s="1207" t="s">
        <v>275</v>
      </c>
      <c r="AC58" s="1338" t="s">
        <v>3</v>
      </c>
      <c r="AD58" s="1411"/>
      <c r="AE58" s="1411"/>
      <c r="AF58" s="1412"/>
      <c r="AG58" s="9"/>
      <c r="AH58" s="9"/>
      <c r="AI58" s="9"/>
      <c r="AJ58" s="248"/>
    </row>
    <row r="59" spans="1:36" ht="73.5">
      <c r="A59" s="248"/>
      <c r="B59" s="1366"/>
      <c r="C59" s="403" t="s">
        <v>4</v>
      </c>
      <c r="D59" s="1253" t="s">
        <v>1700</v>
      </c>
      <c r="E59" s="1219" t="s">
        <v>1701</v>
      </c>
      <c r="F59" s="322" t="s">
        <v>1077</v>
      </c>
      <c r="G59" s="1254">
        <v>1.35</v>
      </c>
      <c r="H59" s="251"/>
      <c r="I59" s="251"/>
      <c r="J59" s="894">
        <v>4</v>
      </c>
      <c r="K59" s="1072" t="s">
        <v>1702</v>
      </c>
      <c r="L59" s="897"/>
      <c r="M59" s="1075" t="s">
        <v>5</v>
      </c>
      <c r="N59" s="896"/>
      <c r="O59" s="897"/>
      <c r="P59" s="896" t="s">
        <v>6</v>
      </c>
      <c r="Q59" s="899" t="s">
        <v>1237</v>
      </c>
      <c r="R59" s="897"/>
      <c r="S59" s="897"/>
      <c r="T59" s="897"/>
      <c r="U59" s="897"/>
      <c r="V59" s="897"/>
      <c r="W59" s="897">
        <v>1</v>
      </c>
      <c r="X59" s="897"/>
      <c r="Y59" s="897"/>
      <c r="Z59" s="897"/>
      <c r="AA59" s="897"/>
      <c r="AB59" s="1207" t="s">
        <v>275</v>
      </c>
      <c r="AC59" s="1338" t="s">
        <v>7</v>
      </c>
      <c r="AD59" s="1411"/>
      <c r="AE59" s="1411"/>
      <c r="AF59" s="1412"/>
      <c r="AG59" s="9"/>
      <c r="AH59" s="9"/>
      <c r="AI59" s="9"/>
      <c r="AJ59" s="248"/>
    </row>
    <row r="60" spans="1:36" ht="34.5">
      <c r="A60" s="248"/>
      <c r="B60" s="1366"/>
      <c r="C60" s="565" t="s">
        <v>8</v>
      </c>
      <c r="D60" s="404" t="s">
        <v>1703</v>
      </c>
      <c r="E60" s="1255" t="s">
        <v>1704</v>
      </c>
      <c r="F60" s="322" t="s">
        <v>9</v>
      </c>
      <c r="G60" s="724">
        <v>1</v>
      </c>
      <c r="H60" s="1256"/>
      <c r="I60" s="1256"/>
      <c r="J60" s="894">
        <v>5</v>
      </c>
      <c r="K60" s="1072" t="s">
        <v>10</v>
      </c>
      <c r="L60" s="896" t="s">
        <v>269</v>
      </c>
      <c r="M60" s="896"/>
      <c r="N60" s="896" t="s">
        <v>266</v>
      </c>
      <c r="O60" s="899" t="s">
        <v>11</v>
      </c>
      <c r="P60" s="897"/>
      <c r="Q60" s="1208" t="s">
        <v>12</v>
      </c>
      <c r="R60" s="897"/>
      <c r="S60" s="897"/>
      <c r="T60" s="897"/>
      <c r="U60" s="897"/>
      <c r="V60" s="897"/>
      <c r="W60" s="897">
        <v>1</v>
      </c>
      <c r="X60" s="897"/>
      <c r="Y60" s="897"/>
      <c r="Z60" s="897"/>
      <c r="AA60" s="897"/>
      <c r="AB60" s="1204"/>
      <c r="AC60" s="1338" t="s">
        <v>13</v>
      </c>
      <c r="AD60" s="1411"/>
      <c r="AE60" s="1411"/>
      <c r="AF60" s="1412"/>
      <c r="AG60" s="9"/>
      <c r="AH60" s="9"/>
      <c r="AI60" s="9"/>
      <c r="AJ60" s="248"/>
    </row>
    <row r="61" spans="1:36" ht="54">
      <c r="A61" s="248"/>
      <c r="B61" s="1366"/>
      <c r="C61" s="406" t="s">
        <v>2619</v>
      </c>
      <c r="D61" s="407" t="s">
        <v>1705</v>
      </c>
      <c r="E61" s="1255" t="s">
        <v>1836</v>
      </c>
      <c r="F61" s="408" t="s">
        <v>1328</v>
      </c>
      <c r="G61" s="777">
        <v>0.04</v>
      </c>
      <c r="H61" s="1257"/>
      <c r="I61" s="1257"/>
      <c r="J61" s="894">
        <v>6</v>
      </c>
      <c r="K61" s="1072" t="s">
        <v>1706</v>
      </c>
      <c r="L61" s="1075" t="s">
        <v>574</v>
      </c>
      <c r="M61" s="896"/>
      <c r="N61" s="896" t="s">
        <v>266</v>
      </c>
      <c r="O61" s="280" t="s">
        <v>14</v>
      </c>
      <c r="P61" s="899" t="s">
        <v>1236</v>
      </c>
      <c r="Q61" s="1208" t="s">
        <v>12</v>
      </c>
      <c r="R61" s="897"/>
      <c r="S61" s="897"/>
      <c r="T61" s="897"/>
      <c r="U61" s="897"/>
      <c r="V61" s="897"/>
      <c r="W61" s="897">
        <v>1</v>
      </c>
      <c r="X61" s="897"/>
      <c r="Y61" s="897"/>
      <c r="Z61" s="897"/>
      <c r="AA61" s="897"/>
      <c r="AB61" s="1204"/>
      <c r="AC61" s="1338" t="s">
        <v>15</v>
      </c>
      <c r="AD61" s="1411"/>
      <c r="AE61" s="1411"/>
      <c r="AF61" s="1412"/>
      <c r="AG61" s="9"/>
      <c r="AH61" s="9"/>
      <c r="AI61" s="9"/>
      <c r="AJ61" s="248"/>
    </row>
    <row r="62" spans="1:36" ht="54">
      <c r="A62" s="248"/>
      <c r="B62" s="1366"/>
      <c r="C62" s="403" t="s">
        <v>1329</v>
      </c>
      <c r="D62" s="404" t="s">
        <v>2622</v>
      </c>
      <c r="E62" s="1219" t="s">
        <v>1837</v>
      </c>
      <c r="F62" s="322" t="s">
        <v>1330</v>
      </c>
      <c r="G62" s="724">
        <v>5</v>
      </c>
      <c r="H62" s="1257"/>
      <c r="I62" s="1257"/>
      <c r="J62" s="894">
        <v>7</v>
      </c>
      <c r="K62" s="1072" t="s">
        <v>16</v>
      </c>
      <c r="L62" s="896"/>
      <c r="M62" s="896"/>
      <c r="N62" s="896" t="s">
        <v>273</v>
      </c>
      <c r="O62" s="899" t="s">
        <v>17</v>
      </c>
      <c r="P62" s="896" t="s">
        <v>274</v>
      </c>
      <c r="Q62" s="1208" t="s">
        <v>18</v>
      </c>
      <c r="R62" s="897"/>
      <c r="S62" s="897"/>
      <c r="T62" s="897"/>
      <c r="U62" s="897"/>
      <c r="V62" s="897"/>
      <c r="W62" s="897">
        <v>1</v>
      </c>
      <c r="X62" s="897"/>
      <c r="Y62" s="897"/>
      <c r="Z62" s="897"/>
      <c r="AA62" s="897"/>
      <c r="AB62" s="1207" t="s">
        <v>275</v>
      </c>
      <c r="AC62" s="1338" t="s">
        <v>19</v>
      </c>
      <c r="AD62" s="1411"/>
      <c r="AE62" s="1411"/>
      <c r="AF62" s="1412"/>
      <c r="AG62" s="9"/>
      <c r="AH62" s="9"/>
      <c r="AI62" s="9"/>
      <c r="AJ62" s="248"/>
    </row>
    <row r="63" spans="1:36" ht="73.5">
      <c r="A63" s="248"/>
      <c r="B63" s="1366"/>
      <c r="C63" s="403" t="s">
        <v>1331</v>
      </c>
      <c r="D63" s="404" t="s">
        <v>1707</v>
      </c>
      <c r="E63" s="1219" t="s">
        <v>1839</v>
      </c>
      <c r="F63" s="322" t="s">
        <v>1333</v>
      </c>
      <c r="G63" s="724">
        <v>5</v>
      </c>
      <c r="H63" s="1257"/>
      <c r="I63" s="1257"/>
      <c r="J63" s="894">
        <v>8</v>
      </c>
      <c r="K63" s="1072" t="s">
        <v>1708</v>
      </c>
      <c r="L63" s="896"/>
      <c r="M63" s="896"/>
      <c r="N63" s="1075" t="s">
        <v>5</v>
      </c>
      <c r="O63" s="280" t="s">
        <v>20</v>
      </c>
      <c r="P63" s="896" t="s">
        <v>6</v>
      </c>
      <c r="Q63" s="1208" t="s">
        <v>21</v>
      </c>
      <c r="R63" s="897"/>
      <c r="S63" s="897"/>
      <c r="T63" s="897"/>
      <c r="U63" s="897"/>
      <c r="V63" s="897"/>
      <c r="W63" s="897">
        <v>1</v>
      </c>
      <c r="X63" s="897"/>
      <c r="Y63" s="897"/>
      <c r="Z63" s="897"/>
      <c r="AA63" s="897"/>
      <c r="AB63" s="1207" t="s">
        <v>275</v>
      </c>
      <c r="AC63" s="1338" t="s">
        <v>22</v>
      </c>
      <c r="AD63" s="1411"/>
      <c r="AE63" s="1411"/>
      <c r="AF63" s="1412"/>
      <c r="AG63" s="9"/>
      <c r="AH63" s="9"/>
      <c r="AI63" s="9"/>
      <c r="AJ63" s="248"/>
    </row>
    <row r="64" spans="1:36" ht="34.5">
      <c r="A64" s="248"/>
      <c r="B64" s="1366"/>
      <c r="C64" s="1258" t="s">
        <v>23</v>
      </c>
      <c r="D64" s="404" t="s">
        <v>1709</v>
      </c>
      <c r="E64" s="1219" t="s">
        <v>1710</v>
      </c>
      <c r="F64" s="322" t="s">
        <v>9</v>
      </c>
      <c r="G64" s="724">
        <v>0.027</v>
      </c>
      <c r="H64" s="1257"/>
      <c r="I64" s="1257"/>
      <c r="J64" s="894">
        <v>9</v>
      </c>
      <c r="K64" s="1072" t="s">
        <v>24</v>
      </c>
      <c r="L64" s="896" t="s">
        <v>269</v>
      </c>
      <c r="M64" s="896"/>
      <c r="N64" s="896"/>
      <c r="O64" s="1208" t="s">
        <v>25</v>
      </c>
      <c r="P64" s="897"/>
      <c r="Q64" s="1208" t="s">
        <v>26</v>
      </c>
      <c r="R64" s="897"/>
      <c r="S64" s="897"/>
      <c r="T64" s="897"/>
      <c r="U64" s="896" t="s">
        <v>266</v>
      </c>
      <c r="V64" s="897"/>
      <c r="W64" s="897">
        <v>1</v>
      </c>
      <c r="X64" s="897"/>
      <c r="Y64" s="897"/>
      <c r="Z64" s="897"/>
      <c r="AA64" s="897"/>
      <c r="AB64" s="1204"/>
      <c r="AC64" s="1338" t="s">
        <v>27</v>
      </c>
      <c r="AD64" s="1411"/>
      <c r="AE64" s="1411"/>
      <c r="AF64" s="1412"/>
      <c r="AG64" s="9"/>
      <c r="AH64" s="9"/>
      <c r="AI64" s="9"/>
      <c r="AJ64" s="248"/>
    </row>
    <row r="65" spans="1:36" ht="54">
      <c r="A65" s="248"/>
      <c r="B65" s="1366"/>
      <c r="C65" s="406" t="s">
        <v>710</v>
      </c>
      <c r="D65" s="407" t="s">
        <v>2400</v>
      </c>
      <c r="E65" s="1255" t="s">
        <v>1840</v>
      </c>
      <c r="F65" s="408" t="s">
        <v>1077</v>
      </c>
      <c r="G65" s="777">
        <v>0.62</v>
      </c>
      <c r="H65" s="1257"/>
      <c r="I65" s="1257"/>
      <c r="J65" s="894">
        <v>10</v>
      </c>
      <c r="K65" s="1072" t="s">
        <v>1711</v>
      </c>
      <c r="L65" s="1075" t="s">
        <v>574</v>
      </c>
      <c r="M65" s="896"/>
      <c r="N65" s="896"/>
      <c r="O65" s="280" t="s">
        <v>28</v>
      </c>
      <c r="P65" s="899" t="s">
        <v>1236</v>
      </c>
      <c r="Q65" s="1208" t="s">
        <v>26</v>
      </c>
      <c r="R65" s="897"/>
      <c r="S65" s="897"/>
      <c r="T65" s="897"/>
      <c r="U65" s="896" t="s">
        <v>266</v>
      </c>
      <c r="V65" s="897"/>
      <c r="W65" s="897">
        <v>1</v>
      </c>
      <c r="X65" s="897"/>
      <c r="Y65" s="897"/>
      <c r="Z65" s="897"/>
      <c r="AA65" s="897"/>
      <c r="AB65" s="1204"/>
      <c r="AC65" s="1338" t="s">
        <v>29</v>
      </c>
      <c r="AD65" s="1411"/>
      <c r="AE65" s="1411"/>
      <c r="AF65" s="1412"/>
      <c r="AG65" s="9"/>
      <c r="AH65" s="9"/>
      <c r="AI65" s="9"/>
      <c r="AJ65" s="248"/>
    </row>
    <row r="66" spans="1:36" ht="54">
      <c r="A66" s="248"/>
      <c r="B66" s="1366"/>
      <c r="C66" s="415" t="s">
        <v>1081</v>
      </c>
      <c r="D66" s="404" t="s">
        <v>1712</v>
      </c>
      <c r="E66" s="1219" t="s">
        <v>1842</v>
      </c>
      <c r="F66" s="322" t="s">
        <v>1082</v>
      </c>
      <c r="G66" s="724">
        <v>0.002</v>
      </c>
      <c r="H66" s="1257"/>
      <c r="I66" s="1257"/>
      <c r="J66" s="894">
        <v>11</v>
      </c>
      <c r="K66" s="1072" t="s">
        <v>30</v>
      </c>
      <c r="L66" s="896"/>
      <c r="M66" s="896"/>
      <c r="N66" s="896"/>
      <c r="O66" s="1208" t="s">
        <v>31</v>
      </c>
      <c r="P66" s="896" t="s">
        <v>274</v>
      </c>
      <c r="Q66" s="1208" t="s">
        <v>32</v>
      </c>
      <c r="R66" s="897"/>
      <c r="S66" s="897"/>
      <c r="T66" s="897"/>
      <c r="U66" s="896" t="s">
        <v>273</v>
      </c>
      <c r="V66" s="897"/>
      <c r="W66" s="897">
        <v>1</v>
      </c>
      <c r="X66" s="897"/>
      <c r="Y66" s="897"/>
      <c r="Z66" s="897"/>
      <c r="AA66" s="897"/>
      <c r="AB66" s="1207" t="s">
        <v>275</v>
      </c>
      <c r="AC66" s="1338" t="s">
        <v>33</v>
      </c>
      <c r="AD66" s="1411"/>
      <c r="AE66" s="1411"/>
      <c r="AF66" s="1412"/>
      <c r="AG66" s="9"/>
      <c r="AH66" s="9"/>
      <c r="AI66" s="9"/>
      <c r="AJ66" s="248"/>
    </row>
    <row r="67" spans="1:36" ht="58.5">
      <c r="A67" s="248"/>
      <c r="B67" s="1366"/>
      <c r="C67" s="415" t="s">
        <v>1083</v>
      </c>
      <c r="D67" s="778" t="s">
        <v>1713</v>
      </c>
      <c r="E67" s="1217" t="s">
        <v>1843</v>
      </c>
      <c r="F67" s="322" t="s">
        <v>1084</v>
      </c>
      <c r="G67" s="1003">
        <v>0.2</v>
      </c>
      <c r="H67" s="1257"/>
      <c r="I67" s="1257"/>
      <c r="J67" s="894">
        <v>12</v>
      </c>
      <c r="K67" s="1072" t="s">
        <v>1714</v>
      </c>
      <c r="L67" s="896"/>
      <c r="M67" s="896"/>
      <c r="N67" s="896"/>
      <c r="O67" s="280" t="s">
        <v>34</v>
      </c>
      <c r="P67" s="896" t="s">
        <v>6</v>
      </c>
      <c r="Q67" s="1208" t="s">
        <v>35</v>
      </c>
      <c r="R67" s="897"/>
      <c r="S67" s="897"/>
      <c r="T67" s="897"/>
      <c r="U67" s="1075" t="s">
        <v>5</v>
      </c>
      <c r="V67" s="897"/>
      <c r="W67" s="897">
        <v>1</v>
      </c>
      <c r="X67" s="897"/>
      <c r="Y67" s="897"/>
      <c r="Z67" s="897"/>
      <c r="AA67" s="897"/>
      <c r="AB67" s="1207" t="s">
        <v>275</v>
      </c>
      <c r="AC67" s="1338" t="s">
        <v>36</v>
      </c>
      <c r="AD67" s="1411"/>
      <c r="AE67" s="1411"/>
      <c r="AF67" s="1412"/>
      <c r="AG67" s="9"/>
      <c r="AH67" s="9"/>
      <c r="AI67" s="9"/>
      <c r="AJ67" s="248"/>
    </row>
    <row r="68" spans="1:36" ht="19.5">
      <c r="A68" s="248"/>
      <c r="B68" s="1366"/>
      <c r="C68" s="415" t="s">
        <v>1091</v>
      </c>
      <c r="D68" s="404" t="s">
        <v>2115</v>
      </c>
      <c r="E68" s="1219" t="s">
        <v>1844</v>
      </c>
      <c r="F68" s="322" t="s">
        <v>1092</v>
      </c>
      <c r="G68" s="724">
        <v>0.01</v>
      </c>
      <c r="H68" s="1257"/>
      <c r="I68" s="1257"/>
      <c r="J68" s="894">
        <v>13</v>
      </c>
      <c r="K68" s="1072" t="s">
        <v>37</v>
      </c>
      <c r="L68" s="897"/>
      <c r="M68" s="897"/>
      <c r="N68" s="897"/>
      <c r="O68" s="897"/>
      <c r="P68" s="897"/>
      <c r="Q68" s="896"/>
      <c r="R68" s="897"/>
      <c r="S68" s="897"/>
      <c r="T68" s="897"/>
      <c r="U68" s="897">
        <v>1</v>
      </c>
      <c r="V68" s="1209">
        <v>-1</v>
      </c>
      <c r="W68" s="896"/>
      <c r="X68" s="897"/>
      <c r="Y68" s="897"/>
      <c r="Z68" s="896"/>
      <c r="AA68" s="897"/>
      <c r="AB68" s="1210"/>
      <c r="AC68" s="1338" t="s">
        <v>38</v>
      </c>
      <c r="AD68" s="1411"/>
      <c r="AE68" s="1411"/>
      <c r="AF68" s="1412"/>
      <c r="AG68" s="9"/>
      <c r="AH68" s="9"/>
      <c r="AI68" s="9"/>
      <c r="AJ68" s="248"/>
    </row>
    <row r="69" spans="1:36" ht="39">
      <c r="A69" s="248"/>
      <c r="B69" s="1366"/>
      <c r="C69" s="423" t="s">
        <v>1344</v>
      </c>
      <c r="D69" s="424" t="s">
        <v>2634</v>
      </c>
      <c r="E69" s="1259" t="s">
        <v>1715</v>
      </c>
      <c r="F69" s="426" t="s">
        <v>1345</v>
      </c>
      <c r="G69" s="781">
        <v>6</v>
      </c>
      <c r="H69" s="1257"/>
      <c r="I69" s="1257"/>
      <c r="J69" s="894">
        <v>14</v>
      </c>
      <c r="K69" s="1072" t="s">
        <v>1642</v>
      </c>
      <c r="L69" s="897"/>
      <c r="M69" s="897"/>
      <c r="N69" s="897"/>
      <c r="O69" s="1211" t="s">
        <v>39</v>
      </c>
      <c r="P69" s="897"/>
      <c r="Q69" s="279" t="s">
        <v>40</v>
      </c>
      <c r="R69" s="897"/>
      <c r="S69" s="47" t="s">
        <v>2257</v>
      </c>
      <c r="T69" s="897"/>
      <c r="U69" s="897"/>
      <c r="V69" s="899" t="s">
        <v>41</v>
      </c>
      <c r="W69" s="897">
        <v>-1</v>
      </c>
      <c r="X69" s="897"/>
      <c r="Y69" s="897"/>
      <c r="Z69" s="897"/>
      <c r="AA69" s="897"/>
      <c r="AB69" s="1204"/>
      <c r="AC69" s="1338" t="s">
        <v>878</v>
      </c>
      <c r="AD69" s="1411"/>
      <c r="AE69" s="1411"/>
      <c r="AF69" s="1412"/>
      <c r="AG69" s="9"/>
      <c r="AH69" s="9"/>
      <c r="AI69" s="9"/>
      <c r="AJ69" s="248"/>
    </row>
    <row r="70" spans="1:36" ht="19.5">
      <c r="A70" s="248"/>
      <c r="B70" s="1366"/>
      <c r="C70" s="427" t="s">
        <v>1352</v>
      </c>
      <c r="D70" s="428" t="s">
        <v>1716</v>
      </c>
      <c r="E70" s="1222" t="s">
        <v>1717</v>
      </c>
      <c r="F70" s="338" t="s">
        <v>1077</v>
      </c>
      <c r="G70" s="733">
        <v>1.2</v>
      </c>
      <c r="H70" s="1257"/>
      <c r="I70" s="1257"/>
      <c r="J70" s="883">
        <v>15</v>
      </c>
      <c r="K70" s="1079" t="s">
        <v>42</v>
      </c>
      <c r="L70" s="885"/>
      <c r="M70" s="885">
        <v>1</v>
      </c>
      <c r="N70" s="885">
        <v>-1</v>
      </c>
      <c r="O70" s="268" t="s">
        <v>2574</v>
      </c>
      <c r="P70" s="885"/>
      <c r="Q70" s="1212" t="s">
        <v>1718</v>
      </c>
      <c r="R70" s="885"/>
      <c r="S70" s="54"/>
      <c r="T70" s="885"/>
      <c r="U70" s="885"/>
      <c r="V70" s="885"/>
      <c r="W70" s="885"/>
      <c r="X70" s="885"/>
      <c r="Y70" s="885"/>
      <c r="Z70" s="885"/>
      <c r="AA70" s="885"/>
      <c r="AB70" s="1213"/>
      <c r="AC70" s="1338" t="s">
        <v>43</v>
      </c>
      <c r="AD70" s="1411"/>
      <c r="AE70" s="1411"/>
      <c r="AF70" s="1412"/>
      <c r="AG70" s="9"/>
      <c r="AH70" s="9"/>
      <c r="AI70" s="9"/>
      <c r="AJ70" s="248"/>
    </row>
    <row r="71" spans="1:36" ht="39">
      <c r="A71" s="248"/>
      <c r="B71" s="1366"/>
      <c r="C71" s="1011" t="s">
        <v>367</v>
      </c>
      <c r="D71" s="424" t="s">
        <v>1719</v>
      </c>
      <c r="E71" s="1222" t="s">
        <v>1720</v>
      </c>
      <c r="F71" s="338" t="s">
        <v>1077</v>
      </c>
      <c r="G71" s="781">
        <v>0.42</v>
      </c>
      <c r="H71" s="1257"/>
      <c r="I71" s="1257"/>
      <c r="J71" s="922">
        <v>16</v>
      </c>
      <c r="K71" s="1083" t="s">
        <v>44</v>
      </c>
      <c r="L71" s="924" t="s">
        <v>949</v>
      </c>
      <c r="M71" s="925"/>
      <c r="N71" s="925"/>
      <c r="O71" s="924" t="s">
        <v>950</v>
      </c>
      <c r="P71" s="924" t="s">
        <v>1308</v>
      </c>
      <c r="Q71" s="926" t="s">
        <v>1237</v>
      </c>
      <c r="R71" s="925"/>
      <c r="S71" s="40"/>
      <c r="T71" s="925"/>
      <c r="U71" s="925"/>
      <c r="V71" s="925"/>
      <c r="W71" s="925"/>
      <c r="X71" s="925"/>
      <c r="Y71" s="925"/>
      <c r="Z71" s="925"/>
      <c r="AA71" s="925">
        <v>1</v>
      </c>
      <c r="AB71" s="1216"/>
      <c r="AC71" s="1338" t="s">
        <v>45</v>
      </c>
      <c r="AD71" s="1411"/>
      <c r="AE71" s="1411"/>
      <c r="AF71" s="1412"/>
      <c r="AG71" s="9"/>
      <c r="AH71" s="9"/>
      <c r="AI71" s="9"/>
      <c r="AJ71" s="248"/>
    </row>
    <row r="72" spans="1:36" ht="39">
      <c r="A72" s="248"/>
      <c r="B72" s="1366"/>
      <c r="C72" s="427" t="s">
        <v>1353</v>
      </c>
      <c r="D72" s="428" t="s">
        <v>1721</v>
      </c>
      <c r="E72" s="1222" t="s">
        <v>1722</v>
      </c>
      <c r="F72" s="338" t="s">
        <v>2389</v>
      </c>
      <c r="G72" s="733">
        <v>0.35</v>
      </c>
      <c r="H72" s="1257"/>
      <c r="I72" s="1257"/>
      <c r="J72" s="922">
        <v>17</v>
      </c>
      <c r="K72" s="1083" t="s">
        <v>46</v>
      </c>
      <c r="L72" s="925"/>
      <c r="M72" s="925"/>
      <c r="N72" s="925"/>
      <c r="O72" s="1218" t="s">
        <v>47</v>
      </c>
      <c r="P72" s="925"/>
      <c r="Q72" s="303" t="s">
        <v>48</v>
      </c>
      <c r="R72" s="925"/>
      <c r="S72" s="50" t="s">
        <v>2017</v>
      </c>
      <c r="T72" s="925"/>
      <c r="U72" s="925"/>
      <c r="V72" s="926" t="s">
        <v>49</v>
      </c>
      <c r="W72" s="925"/>
      <c r="X72" s="925"/>
      <c r="Y72" s="925"/>
      <c r="Z72" s="925"/>
      <c r="AA72" s="925">
        <v>-1</v>
      </c>
      <c r="AB72" s="1216"/>
      <c r="AC72" s="1338" t="s">
        <v>1069</v>
      </c>
      <c r="AD72" s="1411"/>
      <c r="AE72" s="1411"/>
      <c r="AF72" s="1412"/>
      <c r="AG72" s="9"/>
      <c r="AH72" s="9"/>
      <c r="AI72" s="9"/>
      <c r="AJ72" s="248"/>
    </row>
    <row r="73" spans="1:36" ht="39">
      <c r="A73" s="248"/>
      <c r="B73" s="1366"/>
      <c r="C73" s="423" t="s">
        <v>1355</v>
      </c>
      <c r="D73" s="424" t="s">
        <v>1723</v>
      </c>
      <c r="E73" s="1259" t="s">
        <v>1868</v>
      </c>
      <c r="F73" s="426" t="s">
        <v>1356</v>
      </c>
      <c r="G73" s="781">
        <v>0.18</v>
      </c>
      <c r="H73" s="1257"/>
      <c r="I73" s="1257"/>
      <c r="J73" s="901">
        <v>18</v>
      </c>
      <c r="K73" s="1087" t="s">
        <v>50</v>
      </c>
      <c r="L73" s="903" t="s">
        <v>51</v>
      </c>
      <c r="M73" s="904"/>
      <c r="N73" s="904"/>
      <c r="O73" s="905" t="s">
        <v>1236</v>
      </c>
      <c r="P73" s="904"/>
      <c r="Q73" s="1220" t="s">
        <v>52</v>
      </c>
      <c r="R73" s="904"/>
      <c r="S73" s="904"/>
      <c r="T73" s="904"/>
      <c r="U73" s="904"/>
      <c r="V73" s="904"/>
      <c r="W73" s="904"/>
      <c r="X73" s="904">
        <v>1</v>
      </c>
      <c r="Y73" s="297" t="s">
        <v>53</v>
      </c>
      <c r="Z73" s="903" t="s">
        <v>54</v>
      </c>
      <c r="AA73" s="904"/>
      <c r="AB73" s="1221"/>
      <c r="AC73" s="1338" t="s">
        <v>55</v>
      </c>
      <c r="AD73" s="1411"/>
      <c r="AE73" s="1411"/>
      <c r="AF73" s="1412"/>
      <c r="AG73" s="9"/>
      <c r="AH73" s="9"/>
      <c r="AI73" s="9"/>
      <c r="AJ73" s="248"/>
    </row>
    <row r="74" spans="1:36" ht="54">
      <c r="A74" s="248"/>
      <c r="B74" s="1366"/>
      <c r="C74" s="1011" t="s">
        <v>375</v>
      </c>
      <c r="D74" s="424" t="s">
        <v>1724</v>
      </c>
      <c r="E74" s="1259" t="s">
        <v>1725</v>
      </c>
      <c r="F74" s="426" t="s">
        <v>1356</v>
      </c>
      <c r="G74" s="781">
        <v>0.18</v>
      </c>
      <c r="H74" s="1257"/>
      <c r="I74" s="1257"/>
      <c r="J74" s="901">
        <v>19</v>
      </c>
      <c r="K74" s="1087" t="s">
        <v>1726</v>
      </c>
      <c r="L74" s="1091" t="s">
        <v>56</v>
      </c>
      <c r="M74" s="904"/>
      <c r="N74" s="904"/>
      <c r="O74" s="904"/>
      <c r="P74" s="905" t="s">
        <v>1236</v>
      </c>
      <c r="Q74" s="903" t="s">
        <v>57</v>
      </c>
      <c r="R74" s="904"/>
      <c r="S74" s="904"/>
      <c r="T74" s="904"/>
      <c r="U74" s="904"/>
      <c r="V74" s="904"/>
      <c r="W74" s="904"/>
      <c r="X74" s="904">
        <v>1</v>
      </c>
      <c r="Y74" s="297" t="s">
        <v>53</v>
      </c>
      <c r="Z74" s="903" t="s">
        <v>54</v>
      </c>
      <c r="AA74" s="904"/>
      <c r="AB74" s="1221"/>
      <c r="AC74" s="1338" t="s">
        <v>58</v>
      </c>
      <c r="AD74" s="1411"/>
      <c r="AE74" s="1411"/>
      <c r="AF74" s="1412"/>
      <c r="AG74" s="9"/>
      <c r="AH74" s="9"/>
      <c r="AI74" s="9"/>
      <c r="AJ74" s="248"/>
    </row>
    <row r="75" spans="1:36" ht="34.5">
      <c r="A75" s="248"/>
      <c r="B75" s="1366"/>
      <c r="C75" s="431" t="s">
        <v>1357</v>
      </c>
      <c r="D75" s="432" t="s">
        <v>2652</v>
      </c>
      <c r="E75" s="1260" t="s">
        <v>1727</v>
      </c>
      <c r="F75" s="434" t="s">
        <v>1077</v>
      </c>
      <c r="G75" s="793">
        <v>0.04</v>
      </c>
      <c r="H75" s="1257"/>
      <c r="I75" s="1257"/>
      <c r="J75" s="901">
        <v>20</v>
      </c>
      <c r="K75" s="1087" t="s">
        <v>59</v>
      </c>
      <c r="L75" s="903" t="s">
        <v>51</v>
      </c>
      <c r="M75" s="904"/>
      <c r="N75" s="904"/>
      <c r="O75" s="905" t="s">
        <v>1236</v>
      </c>
      <c r="P75" s="904"/>
      <c r="Q75" s="904"/>
      <c r="R75" s="904"/>
      <c r="S75" s="904"/>
      <c r="T75" s="904"/>
      <c r="U75" s="904"/>
      <c r="V75" s="904"/>
      <c r="W75" s="904"/>
      <c r="X75" s="904">
        <v>1</v>
      </c>
      <c r="Y75" s="905" t="s">
        <v>1237</v>
      </c>
      <c r="Z75" s="903" t="s">
        <v>54</v>
      </c>
      <c r="AA75" s="904"/>
      <c r="AB75" s="1221"/>
      <c r="AC75" s="1338" t="s">
        <v>60</v>
      </c>
      <c r="AD75" s="1411"/>
      <c r="AE75" s="1411"/>
      <c r="AF75" s="1412"/>
      <c r="AG75" s="9"/>
      <c r="AH75" s="9"/>
      <c r="AI75" s="9"/>
      <c r="AJ75" s="248"/>
    </row>
    <row r="76" spans="1:36" ht="54">
      <c r="A76" s="248"/>
      <c r="B76" s="1366"/>
      <c r="C76" s="427" t="s">
        <v>1358</v>
      </c>
      <c r="D76" s="428" t="s">
        <v>2655</v>
      </c>
      <c r="E76" s="1222" t="s">
        <v>1728</v>
      </c>
      <c r="F76" s="338" t="s">
        <v>1077</v>
      </c>
      <c r="G76" s="733">
        <v>0.03</v>
      </c>
      <c r="H76" s="1257"/>
      <c r="I76" s="1257"/>
      <c r="J76" s="901">
        <v>21</v>
      </c>
      <c r="K76" s="1087" t="s">
        <v>1729</v>
      </c>
      <c r="L76" s="1091" t="s">
        <v>61</v>
      </c>
      <c r="M76" s="904"/>
      <c r="N76" s="904"/>
      <c r="O76" s="904"/>
      <c r="P76" s="905" t="s">
        <v>1236</v>
      </c>
      <c r="Q76" s="904"/>
      <c r="R76" s="904"/>
      <c r="S76" s="904"/>
      <c r="T76" s="904"/>
      <c r="U76" s="904"/>
      <c r="V76" s="904"/>
      <c r="W76" s="904"/>
      <c r="X76" s="904">
        <v>1</v>
      </c>
      <c r="Y76" s="905" t="s">
        <v>1237</v>
      </c>
      <c r="Z76" s="903" t="s">
        <v>54</v>
      </c>
      <c r="AA76" s="904"/>
      <c r="AB76" s="1221"/>
      <c r="AC76" s="1338" t="s">
        <v>62</v>
      </c>
      <c r="AD76" s="1411"/>
      <c r="AE76" s="1411"/>
      <c r="AF76" s="1412"/>
      <c r="AG76" s="9"/>
      <c r="AH76" s="9"/>
      <c r="AI76" s="9"/>
      <c r="AJ76" s="248"/>
    </row>
    <row r="77" spans="1:36" ht="54">
      <c r="A77" s="248"/>
      <c r="B77" s="1366"/>
      <c r="C77" s="427" t="s">
        <v>1331</v>
      </c>
      <c r="D77" s="428" t="s">
        <v>1730</v>
      </c>
      <c r="E77" s="1222" t="s">
        <v>1882</v>
      </c>
      <c r="F77" s="338" t="s">
        <v>1333</v>
      </c>
      <c r="G77" s="733">
        <v>1</v>
      </c>
      <c r="H77" s="1257"/>
      <c r="I77" s="1257"/>
      <c r="J77" s="901">
        <v>22</v>
      </c>
      <c r="K77" s="1087" t="s">
        <v>63</v>
      </c>
      <c r="L77" s="904"/>
      <c r="M77" s="904"/>
      <c r="N77" s="904"/>
      <c r="O77" s="905" t="s">
        <v>1236</v>
      </c>
      <c r="P77" s="903" t="s">
        <v>64</v>
      </c>
      <c r="Q77" s="903" t="s">
        <v>65</v>
      </c>
      <c r="R77" s="904"/>
      <c r="S77" s="904"/>
      <c r="T77" s="904"/>
      <c r="U77" s="904"/>
      <c r="V77" s="904"/>
      <c r="W77" s="904"/>
      <c r="X77" s="904">
        <v>1</v>
      </c>
      <c r="Y77" s="297" t="s">
        <v>66</v>
      </c>
      <c r="Z77" s="903" t="s">
        <v>67</v>
      </c>
      <c r="AA77" s="904"/>
      <c r="AB77" s="1221" t="s">
        <v>68</v>
      </c>
      <c r="AC77" s="1338" t="s">
        <v>69</v>
      </c>
      <c r="AD77" s="1411"/>
      <c r="AE77" s="1411"/>
      <c r="AF77" s="1412"/>
      <c r="AG77" s="9"/>
      <c r="AH77" s="9"/>
      <c r="AI77" s="9"/>
      <c r="AJ77" s="248"/>
    </row>
    <row r="78" spans="1:36" ht="73.5">
      <c r="A78" s="248"/>
      <c r="B78" s="1366"/>
      <c r="C78" s="423" t="s">
        <v>1081</v>
      </c>
      <c r="D78" s="424" t="s">
        <v>1712</v>
      </c>
      <c r="E78" s="1259" t="s">
        <v>1883</v>
      </c>
      <c r="F78" s="338" t="s">
        <v>1082</v>
      </c>
      <c r="G78" s="781">
        <v>0.002</v>
      </c>
      <c r="H78" s="1257"/>
      <c r="I78" s="1257"/>
      <c r="J78" s="901">
        <v>23</v>
      </c>
      <c r="K78" s="1087" t="s">
        <v>70</v>
      </c>
      <c r="L78" s="904"/>
      <c r="M78" s="904"/>
      <c r="N78" s="904"/>
      <c r="O78" s="904"/>
      <c r="P78" s="903" t="s">
        <v>71</v>
      </c>
      <c r="Q78" s="903" t="s">
        <v>65</v>
      </c>
      <c r="R78" s="904"/>
      <c r="S78" s="904"/>
      <c r="T78" s="904"/>
      <c r="U78" s="904"/>
      <c r="V78" s="904"/>
      <c r="W78" s="904"/>
      <c r="X78" s="904">
        <v>1</v>
      </c>
      <c r="Y78" s="297" t="s">
        <v>66</v>
      </c>
      <c r="Z78" s="1091" t="s">
        <v>72</v>
      </c>
      <c r="AA78" s="904"/>
      <c r="AB78" s="1221" t="s">
        <v>68</v>
      </c>
      <c r="AC78" s="1338" t="s">
        <v>73</v>
      </c>
      <c r="AD78" s="1411"/>
      <c r="AE78" s="1411"/>
      <c r="AF78" s="1412"/>
      <c r="AG78" s="9"/>
      <c r="AH78" s="9"/>
      <c r="AI78" s="9"/>
      <c r="AJ78" s="248"/>
    </row>
    <row r="79" spans="1:36" ht="39">
      <c r="A79" s="248"/>
      <c r="B79" s="1366"/>
      <c r="C79" s="423" t="s">
        <v>1083</v>
      </c>
      <c r="D79" s="424" t="s">
        <v>1713</v>
      </c>
      <c r="E79" s="1259" t="s">
        <v>1884</v>
      </c>
      <c r="F79" s="338" t="s">
        <v>1084</v>
      </c>
      <c r="G79" s="781">
        <v>0.2</v>
      </c>
      <c r="H79" s="1257"/>
      <c r="I79" s="1257"/>
      <c r="J79" s="901">
        <v>24</v>
      </c>
      <c r="K79" s="1087" t="s">
        <v>349</v>
      </c>
      <c r="L79" s="905" t="s">
        <v>353</v>
      </c>
      <c r="M79" s="904"/>
      <c r="N79" s="904"/>
      <c r="O79" s="295" t="s">
        <v>74</v>
      </c>
      <c r="P79" s="903"/>
      <c r="Q79" s="295" t="s">
        <v>75</v>
      </c>
      <c r="R79" s="291" t="s">
        <v>1578</v>
      </c>
      <c r="S79" s="291" t="s">
        <v>1731</v>
      </c>
      <c r="T79" s="904"/>
      <c r="U79" s="904"/>
      <c r="V79" s="904"/>
      <c r="W79" s="904"/>
      <c r="X79" s="904">
        <v>-1</v>
      </c>
      <c r="Y79" s="904"/>
      <c r="Z79" s="904"/>
      <c r="AA79" s="904"/>
      <c r="AB79" s="1223"/>
      <c r="AC79" s="1338" t="s">
        <v>76</v>
      </c>
      <c r="AD79" s="1411"/>
      <c r="AE79" s="1411"/>
      <c r="AF79" s="1412"/>
      <c r="AG79" s="9"/>
      <c r="AH79" s="9"/>
      <c r="AI79" s="9"/>
      <c r="AJ79" s="248"/>
    </row>
    <row r="80" spans="1:36" ht="19.5">
      <c r="A80" s="248"/>
      <c r="B80" s="1366"/>
      <c r="C80" s="423" t="s">
        <v>1091</v>
      </c>
      <c r="D80" s="424" t="s">
        <v>2115</v>
      </c>
      <c r="E80" s="1259" t="s">
        <v>1885</v>
      </c>
      <c r="F80" s="338" t="s">
        <v>1092</v>
      </c>
      <c r="G80" s="781">
        <v>0.01</v>
      </c>
      <c r="H80" s="1257"/>
      <c r="I80" s="1257"/>
      <c r="J80" s="901">
        <v>25</v>
      </c>
      <c r="K80" s="1087" t="s">
        <v>77</v>
      </c>
      <c r="L80" s="904"/>
      <c r="M80" s="904"/>
      <c r="N80" s="904"/>
      <c r="O80" s="908"/>
      <c r="P80" s="903"/>
      <c r="Q80" s="904">
        <v>1</v>
      </c>
      <c r="R80" s="904"/>
      <c r="S80" s="904"/>
      <c r="T80" s="904"/>
      <c r="U80" s="904"/>
      <c r="V80" s="904"/>
      <c r="W80" s="904"/>
      <c r="X80" s="904"/>
      <c r="Y80" s="904">
        <v>-1</v>
      </c>
      <c r="Z80" s="904"/>
      <c r="AA80" s="904"/>
      <c r="AB80" s="1223"/>
      <c r="AC80" s="1338" t="s">
        <v>78</v>
      </c>
      <c r="AD80" s="1411"/>
      <c r="AE80" s="1411"/>
      <c r="AF80" s="1412"/>
      <c r="AG80" s="9"/>
      <c r="AH80" s="9"/>
      <c r="AI80" s="9"/>
      <c r="AJ80" s="248"/>
    </row>
    <row r="81" spans="1:36" ht="19.5">
      <c r="A81" s="248"/>
      <c r="B81" s="1366"/>
      <c r="C81" s="423" t="s">
        <v>1364</v>
      </c>
      <c r="D81" s="424" t="s">
        <v>79</v>
      </c>
      <c r="E81" s="1259" t="s">
        <v>1887</v>
      </c>
      <c r="F81" s="338" t="s">
        <v>1340</v>
      </c>
      <c r="G81" s="781">
        <v>0.25</v>
      </c>
      <c r="H81" s="1257"/>
      <c r="I81" s="1257"/>
      <c r="J81" s="901">
        <v>26</v>
      </c>
      <c r="K81" s="1087" t="s">
        <v>80</v>
      </c>
      <c r="L81" s="904"/>
      <c r="M81" s="904"/>
      <c r="N81" s="904"/>
      <c r="O81" s="1261" t="s">
        <v>81</v>
      </c>
      <c r="P81" s="903"/>
      <c r="Q81" s="1262" t="s">
        <v>82</v>
      </c>
      <c r="R81" s="904"/>
      <c r="S81" s="904"/>
      <c r="T81" s="904"/>
      <c r="U81" s="904"/>
      <c r="V81" s="904">
        <v>1</v>
      </c>
      <c r="W81" s="904"/>
      <c r="X81" s="904"/>
      <c r="Y81" s="904"/>
      <c r="Z81" s="904">
        <v>-1</v>
      </c>
      <c r="AA81" s="904"/>
      <c r="AB81" s="1223"/>
      <c r="AC81" s="1338" t="s">
        <v>83</v>
      </c>
      <c r="AD81" s="1411"/>
      <c r="AE81" s="1411"/>
      <c r="AF81" s="1412"/>
      <c r="AG81" s="9"/>
      <c r="AH81" s="9"/>
      <c r="AI81" s="9"/>
      <c r="AJ81" s="248"/>
    </row>
    <row r="82" spans="1:36" ht="78">
      <c r="A82" s="248"/>
      <c r="B82" s="1366"/>
      <c r="C82" s="1263" t="s">
        <v>1732</v>
      </c>
      <c r="D82" s="1264" t="s">
        <v>84</v>
      </c>
      <c r="E82" s="1265" t="s">
        <v>1733</v>
      </c>
      <c r="F82" s="1266" t="s">
        <v>85</v>
      </c>
      <c r="G82" s="1267">
        <v>0.1</v>
      </c>
      <c r="H82" s="1257"/>
      <c r="I82" s="1257"/>
      <c r="J82" s="901">
        <v>27</v>
      </c>
      <c r="K82" s="1087" t="s">
        <v>361</v>
      </c>
      <c r="L82" s="904"/>
      <c r="M82" s="904"/>
      <c r="N82" s="904"/>
      <c r="O82" s="295" t="s">
        <v>86</v>
      </c>
      <c r="P82" s="1091" t="s">
        <v>87</v>
      </c>
      <c r="Q82" s="295" t="s">
        <v>88</v>
      </c>
      <c r="R82" s="291" t="s">
        <v>1578</v>
      </c>
      <c r="S82" s="291" t="s">
        <v>1731</v>
      </c>
      <c r="T82" s="904"/>
      <c r="U82" s="904"/>
      <c r="V82" s="905" t="s">
        <v>89</v>
      </c>
      <c r="W82" s="904"/>
      <c r="X82" s="904">
        <v>-1</v>
      </c>
      <c r="Y82" s="904"/>
      <c r="Z82" s="904"/>
      <c r="AA82" s="904"/>
      <c r="AB82" s="1226" t="s">
        <v>90</v>
      </c>
      <c r="AC82" s="1338" t="s">
        <v>91</v>
      </c>
      <c r="AD82" s="1411"/>
      <c r="AE82" s="1411"/>
      <c r="AF82" s="1412"/>
      <c r="AG82" s="9"/>
      <c r="AH82" s="9"/>
      <c r="AI82" s="9"/>
      <c r="AJ82" s="248"/>
    </row>
    <row r="83" spans="1:36" ht="19.5">
      <c r="A83" s="248"/>
      <c r="B83" s="1366"/>
      <c r="C83" s="423" t="s">
        <v>92</v>
      </c>
      <c r="D83" s="424" t="s">
        <v>2639</v>
      </c>
      <c r="E83" s="1259" t="s">
        <v>1889</v>
      </c>
      <c r="F83" s="338" t="s">
        <v>1004</v>
      </c>
      <c r="G83" s="781">
        <v>1</v>
      </c>
      <c r="H83" s="1257"/>
      <c r="I83" s="1257"/>
      <c r="J83" s="901">
        <v>28</v>
      </c>
      <c r="K83" s="1087" t="s">
        <v>93</v>
      </c>
      <c r="L83" s="904"/>
      <c r="M83" s="904"/>
      <c r="N83" s="904"/>
      <c r="O83" s="904"/>
      <c r="P83" s="904"/>
      <c r="Q83" s="904">
        <v>1</v>
      </c>
      <c r="R83" s="904"/>
      <c r="S83" s="904"/>
      <c r="T83" s="904"/>
      <c r="U83" s="904"/>
      <c r="V83" s="904"/>
      <c r="W83" s="904"/>
      <c r="X83" s="904"/>
      <c r="Y83" s="904">
        <v>-1</v>
      </c>
      <c r="Z83" s="904"/>
      <c r="AA83" s="904"/>
      <c r="AB83" s="1223"/>
      <c r="AC83" s="1338" t="s">
        <v>94</v>
      </c>
      <c r="AD83" s="1411"/>
      <c r="AE83" s="1411"/>
      <c r="AF83" s="1412"/>
      <c r="AG83" s="9"/>
      <c r="AH83" s="9"/>
      <c r="AI83" s="9"/>
      <c r="AJ83" s="248"/>
    </row>
    <row r="84" spans="1:36" ht="19.5">
      <c r="A84" s="248"/>
      <c r="B84" s="1366"/>
      <c r="C84" s="455" t="s">
        <v>1086</v>
      </c>
      <c r="D84" s="456" t="s">
        <v>1734</v>
      </c>
      <c r="E84" s="1268" t="s">
        <v>1894</v>
      </c>
      <c r="F84" s="457" t="s">
        <v>1077</v>
      </c>
      <c r="G84" s="805" t="s">
        <v>1735</v>
      </c>
      <c r="H84" s="1257"/>
      <c r="I84" s="1257"/>
      <c r="J84" s="901">
        <v>29</v>
      </c>
      <c r="K84" s="1087" t="s">
        <v>95</v>
      </c>
      <c r="L84" s="904"/>
      <c r="M84" s="904"/>
      <c r="N84" s="904"/>
      <c r="O84" s="1261" t="s">
        <v>81</v>
      </c>
      <c r="P84" s="903"/>
      <c r="Q84" s="1262" t="s">
        <v>82</v>
      </c>
      <c r="R84" s="904"/>
      <c r="S84" s="904"/>
      <c r="T84" s="904"/>
      <c r="U84" s="904"/>
      <c r="V84" s="904">
        <v>1</v>
      </c>
      <c r="W84" s="904"/>
      <c r="X84" s="904"/>
      <c r="Y84" s="904"/>
      <c r="Z84" s="904">
        <v>-1</v>
      </c>
      <c r="AA84" s="904"/>
      <c r="AB84" s="1223"/>
      <c r="AC84" s="1338" t="s">
        <v>96</v>
      </c>
      <c r="AD84" s="1411"/>
      <c r="AE84" s="1411"/>
      <c r="AF84" s="1412"/>
      <c r="AG84" s="9"/>
      <c r="AH84" s="9"/>
      <c r="AI84" s="9"/>
      <c r="AJ84" s="248"/>
    </row>
    <row r="85" spans="1:36" ht="78">
      <c r="A85" s="248"/>
      <c r="B85" s="1366"/>
      <c r="C85" s="608" t="s">
        <v>1087</v>
      </c>
      <c r="D85" s="459" t="s">
        <v>1736</v>
      </c>
      <c r="E85" s="1269" t="s">
        <v>1895</v>
      </c>
      <c r="F85" s="460" t="s">
        <v>1077</v>
      </c>
      <c r="G85" s="814">
        <v>0.04</v>
      </c>
      <c r="H85" s="1257"/>
      <c r="I85" s="1257"/>
      <c r="J85" s="901">
        <v>30</v>
      </c>
      <c r="K85" s="1087" t="s">
        <v>372</v>
      </c>
      <c r="L85" s="904"/>
      <c r="M85" s="904"/>
      <c r="N85" s="904"/>
      <c r="O85" s="295" t="s">
        <v>97</v>
      </c>
      <c r="P85" s="904"/>
      <c r="Q85" s="295" t="s">
        <v>98</v>
      </c>
      <c r="R85" s="291" t="s">
        <v>1578</v>
      </c>
      <c r="S85" s="291" t="s">
        <v>1731</v>
      </c>
      <c r="T85" s="904"/>
      <c r="U85" s="904"/>
      <c r="V85" s="905" t="s">
        <v>99</v>
      </c>
      <c r="W85" s="904"/>
      <c r="X85" s="904">
        <v>-1</v>
      </c>
      <c r="Y85" s="904"/>
      <c r="Z85" s="904"/>
      <c r="AA85" s="904"/>
      <c r="AB85" s="1223"/>
      <c r="AC85" s="1338" t="s">
        <v>100</v>
      </c>
      <c r="AD85" s="1411"/>
      <c r="AE85" s="1411"/>
      <c r="AF85" s="1412"/>
      <c r="AG85" s="9"/>
      <c r="AH85" s="9"/>
      <c r="AI85" s="9"/>
      <c r="AJ85" s="248"/>
    </row>
    <row r="86" spans="1:36" ht="19.5">
      <c r="A86" s="248"/>
      <c r="B86" s="1366"/>
      <c r="C86" s="150" t="s">
        <v>1081</v>
      </c>
      <c r="D86" s="456" t="s">
        <v>1737</v>
      </c>
      <c r="E86" s="1225" t="s">
        <v>1896</v>
      </c>
      <c r="F86" s="153" t="s">
        <v>1082</v>
      </c>
      <c r="G86" s="94">
        <v>0.002</v>
      </c>
      <c r="H86" s="1257"/>
      <c r="I86" s="1257"/>
      <c r="J86" s="901">
        <v>31</v>
      </c>
      <c r="K86" s="1087" t="s">
        <v>101</v>
      </c>
      <c r="L86" s="904"/>
      <c r="M86" s="904"/>
      <c r="N86" s="904"/>
      <c r="O86" s="904"/>
      <c r="P86" s="904"/>
      <c r="Q86" s="904">
        <v>1</v>
      </c>
      <c r="R86" s="904"/>
      <c r="S86" s="904"/>
      <c r="T86" s="904"/>
      <c r="U86" s="904"/>
      <c r="V86" s="904"/>
      <c r="W86" s="904"/>
      <c r="X86" s="904"/>
      <c r="Y86" s="904">
        <v>-1</v>
      </c>
      <c r="Z86" s="904"/>
      <c r="AA86" s="904"/>
      <c r="AB86" s="1223"/>
      <c r="AC86" s="1338" t="s">
        <v>102</v>
      </c>
      <c r="AD86" s="1411"/>
      <c r="AE86" s="1411"/>
      <c r="AF86" s="1412"/>
      <c r="AG86" s="9"/>
      <c r="AH86" s="9"/>
      <c r="AI86" s="9"/>
      <c r="AJ86" s="248"/>
    </row>
    <row r="87" spans="1:36" ht="20.25" thickBot="1">
      <c r="A87" s="248"/>
      <c r="B87" s="1367"/>
      <c r="C87" s="461" t="s">
        <v>1091</v>
      </c>
      <c r="D87" s="819" t="s">
        <v>2115</v>
      </c>
      <c r="E87" s="1270" t="s">
        <v>1897</v>
      </c>
      <c r="F87" s="170" t="s">
        <v>1092</v>
      </c>
      <c r="G87" s="171">
        <v>1</v>
      </c>
      <c r="H87" s="1257"/>
      <c r="I87" s="1257"/>
      <c r="J87" s="901">
        <v>32</v>
      </c>
      <c r="K87" s="1087" t="s">
        <v>103</v>
      </c>
      <c r="L87" s="904"/>
      <c r="M87" s="904"/>
      <c r="N87" s="904"/>
      <c r="O87" s="1261" t="s">
        <v>81</v>
      </c>
      <c r="P87" s="903"/>
      <c r="Q87" s="1262" t="s">
        <v>82</v>
      </c>
      <c r="R87" s="904"/>
      <c r="S87" s="904"/>
      <c r="T87" s="904"/>
      <c r="U87" s="904"/>
      <c r="V87" s="904">
        <v>1</v>
      </c>
      <c r="W87" s="904"/>
      <c r="X87" s="904"/>
      <c r="Y87" s="904"/>
      <c r="Z87" s="904">
        <v>-1</v>
      </c>
      <c r="AA87" s="904"/>
      <c r="AB87" s="1223"/>
      <c r="AC87" s="1338" t="s">
        <v>104</v>
      </c>
      <c r="AD87" s="1411"/>
      <c r="AE87" s="1411"/>
      <c r="AF87" s="1412"/>
      <c r="AG87" s="9"/>
      <c r="AH87" s="9"/>
      <c r="AI87" s="9"/>
      <c r="AJ87" s="248"/>
    </row>
    <row r="88" spans="1:36" ht="15.75">
      <c r="A88" s="248"/>
      <c r="B88" s="1271"/>
      <c r="C88" s="248"/>
      <c r="D88" s="248"/>
      <c r="E88" s="248"/>
      <c r="F88" s="248"/>
      <c r="G88" s="248"/>
      <c r="H88" s="1257"/>
      <c r="I88" s="1257"/>
      <c r="J88" s="901">
        <v>33</v>
      </c>
      <c r="K88" s="1087" t="s">
        <v>105</v>
      </c>
      <c r="L88" s="904"/>
      <c r="M88" s="904"/>
      <c r="N88" s="904"/>
      <c r="O88" s="904"/>
      <c r="P88" s="904"/>
      <c r="Q88" s="904">
        <v>1</v>
      </c>
      <c r="R88" s="904"/>
      <c r="S88" s="904"/>
      <c r="T88" s="904"/>
      <c r="U88" s="904"/>
      <c r="V88" s="904"/>
      <c r="W88" s="904"/>
      <c r="X88" s="904"/>
      <c r="Y88" s="904">
        <v>-1</v>
      </c>
      <c r="Z88" s="904"/>
      <c r="AA88" s="904"/>
      <c r="AB88" s="1223"/>
      <c r="AC88" s="1338" t="s">
        <v>106</v>
      </c>
      <c r="AD88" s="1411"/>
      <c r="AE88" s="1411"/>
      <c r="AF88" s="1412"/>
      <c r="AG88" s="9"/>
      <c r="AH88" s="9"/>
      <c r="AI88" s="9"/>
      <c r="AJ88" s="248"/>
    </row>
    <row r="89" spans="1:36" ht="15.75">
      <c r="A89" s="248"/>
      <c r="B89" s="1271"/>
      <c r="C89" s="248"/>
      <c r="D89" s="248"/>
      <c r="E89" s="248"/>
      <c r="F89" s="248"/>
      <c r="G89" s="248"/>
      <c r="H89" s="1257"/>
      <c r="I89" s="1257"/>
      <c r="J89" s="901">
        <v>34</v>
      </c>
      <c r="K89" s="1087" t="s">
        <v>107</v>
      </c>
      <c r="L89" s="904"/>
      <c r="M89" s="904"/>
      <c r="N89" s="904"/>
      <c r="O89" s="904"/>
      <c r="P89" s="904"/>
      <c r="Q89" s="904">
        <v>1</v>
      </c>
      <c r="R89" s="904"/>
      <c r="S89" s="904"/>
      <c r="T89" s="904"/>
      <c r="U89" s="904"/>
      <c r="V89" s="904"/>
      <c r="W89" s="904"/>
      <c r="X89" s="904"/>
      <c r="Y89" s="904">
        <v>-1</v>
      </c>
      <c r="Z89" s="904"/>
      <c r="AA89" s="904"/>
      <c r="AB89" s="1223"/>
      <c r="AC89" s="1338" t="s">
        <v>108</v>
      </c>
      <c r="AD89" s="1411"/>
      <c r="AE89" s="1411"/>
      <c r="AF89" s="1412"/>
      <c r="AG89" s="9"/>
      <c r="AH89" s="9"/>
      <c r="AI89" s="9"/>
      <c r="AJ89" s="248"/>
    </row>
    <row r="90" spans="1:36" ht="20.25" thickBot="1">
      <c r="A90" s="248"/>
      <c r="B90" s="1271"/>
      <c r="C90" s="248"/>
      <c r="D90" s="248"/>
      <c r="E90" s="248"/>
      <c r="F90" s="248"/>
      <c r="G90" s="248"/>
      <c r="H90" s="1257"/>
      <c r="I90" s="1257"/>
      <c r="J90" s="1230">
        <v>35</v>
      </c>
      <c r="K90" s="1105" t="s">
        <v>384</v>
      </c>
      <c r="L90" s="1106"/>
      <c r="M90" s="1106">
        <v>-1</v>
      </c>
      <c r="N90" s="1106"/>
      <c r="O90" s="1106"/>
      <c r="P90" s="1106"/>
      <c r="Q90" s="1107" t="s">
        <v>2580</v>
      </c>
      <c r="R90" s="1106"/>
      <c r="S90" s="1106"/>
      <c r="T90" s="1106"/>
      <c r="U90" s="1106"/>
      <c r="V90" s="1106"/>
      <c r="W90" s="1106"/>
      <c r="X90" s="1106"/>
      <c r="Y90" s="1108" t="s">
        <v>1265</v>
      </c>
      <c r="Z90" s="1106">
        <v>1</v>
      </c>
      <c r="AA90" s="1106"/>
      <c r="AB90" s="1231"/>
      <c r="AC90" s="1341" t="s">
        <v>109</v>
      </c>
      <c r="AD90" s="1413"/>
      <c r="AE90" s="1413"/>
      <c r="AF90" s="1414"/>
      <c r="AG90" s="9"/>
      <c r="AH90" s="9"/>
      <c r="AI90" s="9"/>
      <c r="AJ90" s="248"/>
    </row>
    <row r="91" spans="1:36" ht="18.75" thickBot="1">
      <c r="A91" s="248"/>
      <c r="B91" s="1271"/>
      <c r="C91" s="248"/>
      <c r="D91" s="248"/>
      <c r="E91" s="248"/>
      <c r="F91" s="248"/>
      <c r="G91" s="248"/>
      <c r="H91" s="1257"/>
      <c r="I91" s="1257"/>
      <c r="J91" s="9"/>
      <c r="K91" s="1436" t="s">
        <v>2328</v>
      </c>
      <c r="L91" s="1437"/>
      <c r="M91" s="1437"/>
      <c r="N91" s="1437"/>
      <c r="O91" s="1437"/>
      <c r="P91" s="1437"/>
      <c r="Q91" s="1437"/>
      <c r="R91" s="1437"/>
      <c r="S91" s="1437"/>
      <c r="T91" s="1437"/>
      <c r="U91" s="1437"/>
      <c r="V91" s="1437"/>
      <c r="W91" s="1437"/>
      <c r="X91" s="1437"/>
      <c r="Y91" s="1437"/>
      <c r="Z91" s="1437"/>
      <c r="AA91" s="1437"/>
      <c r="AB91" s="1438"/>
      <c r="AC91" s="9"/>
      <c r="AD91" s="9"/>
      <c r="AE91" s="9"/>
      <c r="AF91" s="9"/>
      <c r="AG91" s="9"/>
      <c r="AH91" s="9"/>
      <c r="AI91" s="9"/>
      <c r="AJ91" s="248"/>
    </row>
    <row r="92" spans="1:36" ht="19.5">
      <c r="A92" s="248"/>
      <c r="B92" s="1271"/>
      <c r="C92" s="248"/>
      <c r="D92" s="248"/>
      <c r="E92" s="248"/>
      <c r="F92" s="248"/>
      <c r="G92" s="248"/>
      <c r="H92" s="1257"/>
      <c r="I92" s="1257"/>
      <c r="J92" s="9"/>
      <c r="K92" s="939" t="s">
        <v>2332</v>
      </c>
      <c r="L92" s="940">
        <v>-1</v>
      </c>
      <c r="M92" s="940">
        <v>1</v>
      </c>
      <c r="N92" s="940">
        <v>1</v>
      </c>
      <c r="O92" s="940"/>
      <c r="P92" s="941" t="s">
        <v>2333</v>
      </c>
      <c r="Q92" s="940"/>
      <c r="R92" s="940">
        <v>1</v>
      </c>
      <c r="S92" s="940">
        <v>1</v>
      </c>
      <c r="T92" s="940">
        <v>1</v>
      </c>
      <c r="U92" s="940">
        <v>1</v>
      </c>
      <c r="V92" s="940">
        <v>1</v>
      </c>
      <c r="W92" s="940">
        <v>1</v>
      </c>
      <c r="X92" s="940">
        <v>1</v>
      </c>
      <c r="Y92" s="940"/>
      <c r="Z92" s="940">
        <v>1</v>
      </c>
      <c r="AA92" s="1272">
        <v>1</v>
      </c>
      <c r="AB92" s="1273" t="s">
        <v>2334</v>
      </c>
      <c r="AC92" s="9"/>
      <c r="AD92" s="9"/>
      <c r="AE92" s="9"/>
      <c r="AF92" s="9"/>
      <c r="AG92" s="9"/>
      <c r="AH92" s="9"/>
      <c r="AI92" s="9"/>
      <c r="AJ92" s="248"/>
    </row>
    <row r="93" spans="1:36" ht="39">
      <c r="A93" s="248"/>
      <c r="B93" s="248"/>
      <c r="C93" s="248"/>
      <c r="D93" s="248"/>
      <c r="E93" s="248"/>
      <c r="F93" s="248"/>
      <c r="G93" s="248"/>
      <c r="H93" s="1257"/>
      <c r="I93" s="1257"/>
      <c r="J93" s="9"/>
      <c r="K93" s="943" t="s">
        <v>2338</v>
      </c>
      <c r="L93" s="944"/>
      <c r="M93" s="944"/>
      <c r="N93" s="345" t="s">
        <v>2574</v>
      </c>
      <c r="O93" s="944">
        <v>1</v>
      </c>
      <c r="P93" s="944">
        <v>1</v>
      </c>
      <c r="Q93" s="944"/>
      <c r="R93" s="345" t="s">
        <v>2605</v>
      </c>
      <c r="S93" s="345" t="s">
        <v>2397</v>
      </c>
      <c r="T93" s="345" t="s">
        <v>2606</v>
      </c>
      <c r="U93" s="345" t="s">
        <v>2607</v>
      </c>
      <c r="V93" s="345" t="s">
        <v>2607</v>
      </c>
      <c r="W93" s="345" t="s">
        <v>2396</v>
      </c>
      <c r="X93" s="345" t="s">
        <v>2396</v>
      </c>
      <c r="Y93" s="944"/>
      <c r="Z93" s="944"/>
      <c r="AA93" s="345" t="s">
        <v>2396</v>
      </c>
      <c r="AB93" s="1274">
        <v>1</v>
      </c>
      <c r="AC93" s="9"/>
      <c r="AD93" s="9"/>
      <c r="AE93" s="9"/>
      <c r="AF93" s="9"/>
      <c r="AG93" s="9"/>
      <c r="AH93" s="9"/>
      <c r="AI93" s="9"/>
      <c r="AJ93" s="248"/>
    </row>
    <row r="94" spans="1:36" ht="39.75" thickBot="1">
      <c r="A94" s="248"/>
      <c r="B94" s="248"/>
      <c r="C94" s="248"/>
      <c r="D94" s="248"/>
      <c r="E94" s="248"/>
      <c r="F94" s="248"/>
      <c r="G94" s="248"/>
      <c r="H94" s="1257"/>
      <c r="I94" s="1257"/>
      <c r="J94" s="9"/>
      <c r="K94" s="946" t="s">
        <v>2540</v>
      </c>
      <c r="L94" s="947"/>
      <c r="M94" s="947"/>
      <c r="N94" s="359" t="s">
        <v>2575</v>
      </c>
      <c r="O94" s="947"/>
      <c r="P94" s="947"/>
      <c r="Q94" s="947">
        <v>1</v>
      </c>
      <c r="R94" s="359" t="s">
        <v>2610</v>
      </c>
      <c r="S94" s="359" t="s">
        <v>1738</v>
      </c>
      <c r="T94" s="359" t="s">
        <v>2611</v>
      </c>
      <c r="U94" s="359" t="s">
        <v>2612</v>
      </c>
      <c r="V94" s="359" t="s">
        <v>2612</v>
      </c>
      <c r="W94" s="359" t="s">
        <v>2613</v>
      </c>
      <c r="X94" s="359" t="s">
        <v>2613</v>
      </c>
      <c r="Y94" s="947">
        <v>1</v>
      </c>
      <c r="Z94" s="947"/>
      <c r="AA94" s="359" t="s">
        <v>2613</v>
      </c>
      <c r="AB94" s="1275"/>
      <c r="AC94" s="9"/>
      <c r="AD94" s="9"/>
      <c r="AE94" s="9"/>
      <c r="AF94" s="9"/>
      <c r="AG94" s="9"/>
      <c r="AH94" s="9"/>
      <c r="AI94" s="9"/>
      <c r="AJ94" s="248"/>
    </row>
    <row r="95" spans="1:36" ht="14.25">
      <c r="A95" s="248"/>
      <c r="B95" s="248"/>
      <c r="C95" s="248"/>
      <c r="D95" s="248"/>
      <c r="E95" s="248"/>
      <c r="F95" s="248"/>
      <c r="G95" s="248"/>
      <c r="H95" s="1257"/>
      <c r="I95" s="1257"/>
      <c r="J95" s="9"/>
      <c r="K95" s="9"/>
      <c r="L95" s="9"/>
      <c r="M95" s="9"/>
      <c r="N95" s="9"/>
      <c r="O95" s="9"/>
      <c r="P95" s="9"/>
      <c r="Q95" s="9"/>
      <c r="R95" s="9"/>
      <c r="S95" s="9"/>
      <c r="T95" s="9"/>
      <c r="U95" s="9"/>
      <c r="V95" s="9"/>
      <c r="W95" s="9"/>
      <c r="X95" s="9"/>
      <c r="Y95" s="9"/>
      <c r="Z95" s="9"/>
      <c r="AA95" s="9"/>
      <c r="AB95" s="9"/>
      <c r="AC95" s="9"/>
      <c r="AD95" s="9"/>
      <c r="AE95" s="9"/>
      <c r="AF95" s="9"/>
      <c r="AG95" s="9"/>
      <c r="AH95" s="9"/>
      <c r="AI95" s="9"/>
      <c r="AJ95" s="248"/>
    </row>
    <row r="96" spans="1:36" ht="15" thickBot="1">
      <c r="A96" s="248"/>
      <c r="B96" s="248"/>
      <c r="C96" s="248"/>
      <c r="D96" s="248"/>
      <c r="E96" s="248"/>
      <c r="F96" s="248"/>
      <c r="G96" s="248"/>
      <c r="H96" s="251"/>
      <c r="I96" s="251"/>
      <c r="J96" s="9"/>
      <c r="K96" s="9"/>
      <c r="L96" s="9"/>
      <c r="M96" s="9"/>
      <c r="N96" s="9"/>
      <c r="O96" s="9"/>
      <c r="P96" s="9"/>
      <c r="Q96" s="9"/>
      <c r="R96" s="9"/>
      <c r="S96" s="9"/>
      <c r="T96" s="9"/>
      <c r="U96" s="9"/>
      <c r="V96" s="9"/>
      <c r="W96" s="9"/>
      <c r="X96" s="9"/>
      <c r="Y96" s="9"/>
      <c r="Z96" s="9"/>
      <c r="AA96" s="9"/>
      <c r="AB96" s="9"/>
      <c r="AC96" s="9"/>
      <c r="AD96" s="9"/>
      <c r="AE96" s="9"/>
      <c r="AF96" s="9"/>
      <c r="AG96" s="9"/>
      <c r="AH96" s="9"/>
      <c r="AI96" s="9"/>
      <c r="AJ96" s="248"/>
    </row>
    <row r="97" spans="1:36" ht="30.75" thickBot="1">
      <c r="A97" s="248"/>
      <c r="B97" s="248"/>
      <c r="C97" s="248"/>
      <c r="D97" s="248"/>
      <c r="E97" s="248"/>
      <c r="F97" s="248"/>
      <c r="G97" s="248"/>
      <c r="H97" s="251"/>
      <c r="I97" s="251"/>
      <c r="J97" s="1331" t="s">
        <v>2406</v>
      </c>
      <c r="K97" s="1332"/>
      <c r="L97" s="1332"/>
      <c r="M97" s="1332"/>
      <c r="N97" s="1332"/>
      <c r="O97" s="1332"/>
      <c r="P97" s="1332"/>
      <c r="Q97" s="1332"/>
      <c r="R97" s="1332"/>
      <c r="S97" s="1332"/>
      <c r="T97" s="1332"/>
      <c r="U97" s="1332"/>
      <c r="V97" s="1332"/>
      <c r="W97" s="1332"/>
      <c r="X97" s="1332"/>
      <c r="Y97" s="1332"/>
      <c r="Z97" s="1332"/>
      <c r="AA97" s="1332"/>
      <c r="AB97" s="1332"/>
      <c r="AC97" s="1332"/>
      <c r="AD97" s="1332"/>
      <c r="AE97" s="1332"/>
      <c r="AF97" s="1332"/>
      <c r="AG97" s="1332"/>
      <c r="AH97" s="1332"/>
      <c r="AI97" s="1332"/>
      <c r="AJ97" s="1333"/>
    </row>
    <row r="98" spans="1:36" ht="14.25">
      <c r="A98" s="248"/>
      <c r="B98" s="248"/>
      <c r="C98" s="248"/>
      <c r="D98" s="248"/>
      <c r="E98" s="248"/>
      <c r="F98" s="248"/>
      <c r="G98" s="248"/>
      <c r="H98" s="251"/>
      <c r="I98" s="251"/>
      <c r="J98" s="9"/>
      <c r="K98" s="9"/>
      <c r="L98" s="9"/>
      <c r="M98" s="9"/>
      <c r="N98" s="9"/>
      <c r="O98" s="9"/>
      <c r="P98" s="9"/>
      <c r="Q98" s="9"/>
      <c r="R98" s="9"/>
      <c r="S98" s="9"/>
      <c r="T98" s="9"/>
      <c r="U98" s="9"/>
      <c r="V98" s="9"/>
      <c r="W98" s="9"/>
      <c r="X98" s="9"/>
      <c r="Y98" s="9"/>
      <c r="Z98" s="9"/>
      <c r="AA98" s="9"/>
      <c r="AB98" s="9"/>
      <c r="AC98" s="9"/>
      <c r="AD98" s="9"/>
      <c r="AE98" s="9"/>
      <c r="AF98" s="9"/>
      <c r="AG98" s="9"/>
      <c r="AH98" s="9"/>
      <c r="AI98" s="9"/>
      <c r="AJ98" s="248"/>
    </row>
    <row r="99" spans="1:36" ht="18.75" thickBot="1">
      <c r="A99" s="248"/>
      <c r="B99" s="248"/>
      <c r="C99" s="248"/>
      <c r="D99" s="248"/>
      <c r="E99" s="248"/>
      <c r="F99" s="248"/>
      <c r="G99" s="248"/>
      <c r="H99" s="251"/>
      <c r="I99" s="251"/>
      <c r="J99" s="9"/>
      <c r="K99" s="9"/>
      <c r="L99" s="9"/>
      <c r="M99" s="9"/>
      <c r="N99" s="9"/>
      <c r="O99" s="9"/>
      <c r="P99" s="9"/>
      <c r="Q99" s="9"/>
      <c r="R99" s="9"/>
      <c r="S99" s="9"/>
      <c r="T99" s="9"/>
      <c r="U99" s="9"/>
      <c r="V99" s="9"/>
      <c r="W99" s="9"/>
      <c r="X99" s="9"/>
      <c r="Y99" s="9"/>
      <c r="Z99" s="9"/>
      <c r="AA99" s="9"/>
      <c r="AB99" s="9"/>
      <c r="AC99" s="1371" t="s">
        <v>1739</v>
      </c>
      <c r="AD99" s="1371"/>
      <c r="AE99" s="1371"/>
      <c r="AF99" s="1371"/>
      <c r="AG99" s="9"/>
      <c r="AH99" s="9"/>
      <c r="AI99" s="9"/>
      <c r="AJ99" s="248"/>
    </row>
    <row r="100" spans="1:36" ht="15" thickBot="1">
      <c r="A100" s="248"/>
      <c r="B100" s="248"/>
      <c r="C100" s="248"/>
      <c r="D100" s="248"/>
      <c r="E100" s="248"/>
      <c r="F100" s="248"/>
      <c r="G100" s="248"/>
      <c r="H100" s="251"/>
      <c r="I100" s="251"/>
      <c r="J100" s="149"/>
      <c r="K100" s="149"/>
      <c r="L100" s="149"/>
      <c r="M100" s="149"/>
      <c r="N100" s="149"/>
      <c r="O100" s="149"/>
      <c r="P100" s="149"/>
      <c r="Q100" s="149"/>
      <c r="R100" s="149"/>
      <c r="S100" s="149"/>
      <c r="T100" s="149"/>
      <c r="U100" s="149"/>
      <c r="V100" s="149"/>
      <c r="W100" s="149"/>
      <c r="X100" s="149"/>
      <c r="Y100" s="149"/>
      <c r="Z100" s="149"/>
      <c r="AA100" s="149"/>
      <c r="AB100" s="149"/>
      <c r="AC100" s="249"/>
      <c r="AD100" s="1276" t="s">
        <v>2332</v>
      </c>
      <c r="AE100" s="1277" t="s">
        <v>2338</v>
      </c>
      <c r="AF100" s="1278" t="s">
        <v>2540</v>
      </c>
      <c r="AG100" s="9"/>
      <c r="AH100" s="9"/>
      <c r="AI100" s="9"/>
      <c r="AJ100" s="248"/>
    </row>
    <row r="101" spans="1:36" ht="14.25">
      <c r="A101" s="248"/>
      <c r="B101" s="248"/>
      <c r="C101" s="248"/>
      <c r="D101" s="248"/>
      <c r="E101" s="248"/>
      <c r="F101" s="248"/>
      <c r="G101" s="248"/>
      <c r="H101" s="251"/>
      <c r="I101" s="251"/>
      <c r="J101" s="149"/>
      <c r="K101" s="149"/>
      <c r="L101" s="149"/>
      <c r="M101" s="149"/>
      <c r="N101" s="149"/>
      <c r="O101" s="149"/>
      <c r="P101" s="149"/>
      <c r="Q101" s="149"/>
      <c r="R101" s="149"/>
      <c r="S101" s="149"/>
      <c r="T101" s="149"/>
      <c r="U101" s="149"/>
      <c r="V101" s="149"/>
      <c r="W101" s="149"/>
      <c r="X101" s="149"/>
      <c r="Y101" s="149"/>
      <c r="Z101" s="149"/>
      <c r="AA101" s="149"/>
      <c r="AB101" s="149"/>
      <c r="AC101" s="1279" t="s">
        <v>110</v>
      </c>
      <c r="AD101" s="1280">
        <v>-1</v>
      </c>
      <c r="AE101" s="1281"/>
      <c r="AF101" s="1282"/>
      <c r="AG101" s="9"/>
      <c r="AH101" s="9"/>
      <c r="AI101" s="9"/>
      <c r="AJ101" s="248"/>
    </row>
    <row r="102" spans="1:36" ht="14.25">
      <c r="A102" s="248"/>
      <c r="B102" s="248"/>
      <c r="C102" s="248"/>
      <c r="D102" s="248"/>
      <c r="E102" s="248"/>
      <c r="F102" s="248"/>
      <c r="G102" s="248"/>
      <c r="H102" s="251"/>
      <c r="I102" s="251"/>
      <c r="J102" s="149"/>
      <c r="K102" s="149"/>
      <c r="L102" s="149"/>
      <c r="M102" s="149"/>
      <c r="N102" s="149"/>
      <c r="O102" s="149"/>
      <c r="P102" s="149"/>
      <c r="Q102" s="149"/>
      <c r="R102" s="149"/>
      <c r="S102" s="149"/>
      <c r="T102" s="149"/>
      <c r="U102" s="149"/>
      <c r="V102" s="149"/>
      <c r="W102" s="149"/>
      <c r="X102" s="149"/>
      <c r="Y102" s="149"/>
      <c r="Z102" s="149"/>
      <c r="AA102" s="149"/>
      <c r="AB102" s="149"/>
      <c r="AC102" s="1283" t="s">
        <v>111</v>
      </c>
      <c r="AD102" s="1284">
        <v>1</v>
      </c>
      <c r="AE102" s="1285"/>
      <c r="AF102" s="1286"/>
      <c r="AG102" s="9"/>
      <c r="AH102" s="9"/>
      <c r="AI102" s="9"/>
      <c r="AJ102" s="248"/>
    </row>
    <row r="103" spans="1:36" ht="14.25">
      <c r="A103" s="248"/>
      <c r="B103" s="248"/>
      <c r="C103" s="248"/>
      <c r="D103" s="248"/>
      <c r="E103" s="248"/>
      <c r="F103" s="248"/>
      <c r="G103" s="248"/>
      <c r="H103" s="251"/>
      <c r="I103" s="251"/>
      <c r="J103" s="149"/>
      <c r="K103" s="149"/>
      <c r="L103" s="149"/>
      <c r="M103" s="149"/>
      <c r="N103" s="149"/>
      <c r="O103" s="149"/>
      <c r="P103" s="149"/>
      <c r="Q103" s="149"/>
      <c r="R103" s="149"/>
      <c r="S103" s="149"/>
      <c r="T103" s="149"/>
      <c r="U103" s="149"/>
      <c r="V103" s="149"/>
      <c r="W103" s="149"/>
      <c r="X103" s="149"/>
      <c r="Y103" s="149"/>
      <c r="Z103" s="149"/>
      <c r="AA103" s="149"/>
      <c r="AB103" s="149"/>
      <c r="AC103" s="1283" t="s">
        <v>112</v>
      </c>
      <c r="AD103" s="1284">
        <v>1</v>
      </c>
      <c r="AE103" s="1285">
        <f>UCTPHOP_i_NSF</f>
        <v>0.011</v>
      </c>
      <c r="AF103" s="1286">
        <f>UCTPHOP_i_PSF</f>
        <v>0</v>
      </c>
      <c r="AG103" s="9"/>
      <c r="AH103" s="9"/>
      <c r="AI103" s="9"/>
      <c r="AJ103" s="248"/>
    </row>
    <row r="104" spans="1:36" ht="14.25">
      <c r="A104" s="248"/>
      <c r="B104" s="248"/>
      <c r="C104" s="248"/>
      <c r="D104" s="248"/>
      <c r="E104" s="248"/>
      <c r="F104" s="248"/>
      <c r="G104" s="248"/>
      <c r="H104" s="251"/>
      <c r="I104" s="251"/>
      <c r="J104" s="149"/>
      <c r="K104" s="149"/>
      <c r="L104" s="149"/>
      <c r="M104" s="149"/>
      <c r="N104" s="149"/>
      <c r="O104" s="149"/>
      <c r="P104" s="149"/>
      <c r="Q104" s="149"/>
      <c r="R104" s="149"/>
      <c r="S104" s="149"/>
      <c r="T104" s="149"/>
      <c r="U104" s="149"/>
      <c r="V104" s="149"/>
      <c r="W104" s="149"/>
      <c r="X104" s="149"/>
      <c r="Y104" s="149"/>
      <c r="Z104" s="149"/>
      <c r="AA104" s="149"/>
      <c r="AB104" s="149"/>
      <c r="AC104" s="1283" t="s">
        <v>113</v>
      </c>
      <c r="AD104" s="1284"/>
      <c r="AE104" s="1285">
        <v>1</v>
      </c>
      <c r="AF104" s="1286"/>
      <c r="AG104" s="9"/>
      <c r="AH104" s="9"/>
      <c r="AI104" s="9"/>
      <c r="AJ104" s="248"/>
    </row>
    <row r="105" spans="1:36" ht="14.25">
      <c r="A105" s="248"/>
      <c r="B105" s="248"/>
      <c r="C105" s="248"/>
      <c r="D105" s="248"/>
      <c r="E105" s="248"/>
      <c r="F105" s="248"/>
      <c r="G105" s="248"/>
      <c r="H105" s="251"/>
      <c r="I105" s="251"/>
      <c r="J105" s="149"/>
      <c r="K105" s="149"/>
      <c r="L105" s="149"/>
      <c r="M105" s="149"/>
      <c r="N105" s="149"/>
      <c r="O105" s="149"/>
      <c r="P105" s="149"/>
      <c r="Q105" s="149"/>
      <c r="R105" s="149"/>
      <c r="S105" s="149"/>
      <c r="T105" s="149"/>
      <c r="U105" s="149"/>
      <c r="V105" s="149"/>
      <c r="W105" s="149"/>
      <c r="X105" s="149"/>
      <c r="Y105" s="149"/>
      <c r="Z105" s="149"/>
      <c r="AA105" s="149"/>
      <c r="AB105" s="149"/>
      <c r="AC105" s="1283" t="s">
        <v>114</v>
      </c>
      <c r="AD105" s="1284">
        <f>UCTPHOP_i_COD_NOx</f>
        <v>-4.571428571428571</v>
      </c>
      <c r="AE105" s="1285">
        <v>1</v>
      </c>
      <c r="AF105" s="1286"/>
      <c r="AG105" s="9"/>
      <c r="AH105" s="9"/>
      <c r="AI105" s="9"/>
      <c r="AJ105" s="248"/>
    </row>
    <row r="106" spans="1:36" ht="14.25">
      <c r="A106" s="248"/>
      <c r="B106" s="248"/>
      <c r="C106" s="248"/>
      <c r="D106" s="248"/>
      <c r="E106" s="248"/>
      <c r="F106" s="248"/>
      <c r="G106" s="248"/>
      <c r="H106" s="251"/>
      <c r="I106" s="251"/>
      <c r="J106" s="149"/>
      <c r="K106" s="149"/>
      <c r="L106" s="149"/>
      <c r="M106" s="149"/>
      <c r="N106" s="149"/>
      <c r="O106" s="149"/>
      <c r="P106" s="149"/>
      <c r="Q106" s="149"/>
      <c r="R106" s="149"/>
      <c r="S106" s="149"/>
      <c r="T106" s="149"/>
      <c r="U106" s="149"/>
      <c r="V106" s="149"/>
      <c r="W106" s="149"/>
      <c r="X106" s="149"/>
      <c r="Y106" s="149"/>
      <c r="Z106" s="149"/>
      <c r="AA106" s="149"/>
      <c r="AB106" s="149"/>
      <c r="AC106" s="1283" t="s">
        <v>115</v>
      </c>
      <c r="AD106" s="1284"/>
      <c r="AE106" s="1285"/>
      <c r="AF106" s="1286">
        <v>1</v>
      </c>
      <c r="AG106" s="9"/>
      <c r="AH106" s="9"/>
      <c r="AI106" s="9"/>
      <c r="AJ106" s="248"/>
    </row>
    <row r="107" spans="1:36" ht="14.25">
      <c r="A107" s="248"/>
      <c r="B107" s="248"/>
      <c r="C107" s="248"/>
      <c r="D107" s="248"/>
      <c r="E107" s="248"/>
      <c r="F107" s="248"/>
      <c r="G107" s="248"/>
      <c r="H107" s="251"/>
      <c r="I107" s="251"/>
      <c r="J107" s="149"/>
      <c r="K107" s="149"/>
      <c r="L107" s="149"/>
      <c r="M107" s="149"/>
      <c r="N107" s="149"/>
      <c r="O107" s="149"/>
      <c r="P107" s="149"/>
      <c r="Q107" s="149"/>
      <c r="R107" s="149"/>
      <c r="S107" s="149"/>
      <c r="T107" s="149"/>
      <c r="U107" s="149"/>
      <c r="V107" s="149"/>
      <c r="W107" s="149"/>
      <c r="X107" s="149"/>
      <c r="Y107" s="149"/>
      <c r="Z107" s="149"/>
      <c r="AA107" s="149"/>
      <c r="AB107" s="149"/>
      <c r="AC107" s="1283" t="s">
        <v>116</v>
      </c>
      <c r="AD107" s="1284">
        <v>1</v>
      </c>
      <c r="AE107" s="1285">
        <f>UCTPHOP_i_NSI</f>
        <v>0.035</v>
      </c>
      <c r="AF107" s="1286">
        <f>UCTPHOP_i_PSI</f>
        <v>0</v>
      </c>
      <c r="AG107" s="9"/>
      <c r="AH107" s="9"/>
      <c r="AI107" s="9"/>
      <c r="AJ107" s="248"/>
    </row>
    <row r="108" spans="1:36" ht="14.25">
      <c r="A108" s="248"/>
      <c r="B108" s="248"/>
      <c r="C108" s="248"/>
      <c r="D108" s="248"/>
      <c r="E108" s="248"/>
      <c r="F108" s="248"/>
      <c r="G108" s="248"/>
      <c r="H108" s="251"/>
      <c r="I108" s="251"/>
      <c r="J108" s="149"/>
      <c r="K108" s="149"/>
      <c r="L108" s="149"/>
      <c r="M108" s="149"/>
      <c r="N108" s="149"/>
      <c r="O108" s="149"/>
      <c r="P108" s="149"/>
      <c r="Q108" s="149"/>
      <c r="R108" s="149"/>
      <c r="S108" s="149"/>
      <c r="T108" s="149"/>
      <c r="U108" s="149"/>
      <c r="V108" s="149"/>
      <c r="W108" s="149"/>
      <c r="X108" s="149"/>
      <c r="Y108" s="149"/>
      <c r="Z108" s="149"/>
      <c r="AA108" s="149"/>
      <c r="AB108" s="149"/>
      <c r="AC108" s="1283" t="s">
        <v>117</v>
      </c>
      <c r="AD108" s="1284">
        <v>1</v>
      </c>
      <c r="AE108" s="1285">
        <f>UCTPHOP_i_NXE</f>
        <v>0.068</v>
      </c>
      <c r="AF108" s="1286">
        <f>UCTPHOP_i_PXE</f>
        <v>0.021</v>
      </c>
      <c r="AG108" s="9"/>
      <c r="AH108" s="9"/>
      <c r="AI108" s="9"/>
      <c r="AJ108" s="248"/>
    </row>
    <row r="109" spans="1:36" ht="14.25">
      <c r="A109" s="248"/>
      <c r="B109" s="248"/>
      <c r="C109" s="248"/>
      <c r="D109" s="248"/>
      <c r="E109" s="248"/>
      <c r="F109" s="248"/>
      <c r="G109" s="248"/>
      <c r="H109" s="251"/>
      <c r="I109" s="251"/>
      <c r="J109" s="149"/>
      <c r="K109" s="149"/>
      <c r="L109" s="149"/>
      <c r="M109" s="149"/>
      <c r="N109" s="149"/>
      <c r="O109" s="149"/>
      <c r="P109" s="149"/>
      <c r="Q109" s="149"/>
      <c r="R109" s="149"/>
      <c r="S109" s="149"/>
      <c r="T109" s="149"/>
      <c r="U109" s="149"/>
      <c r="V109" s="149"/>
      <c r="W109" s="149"/>
      <c r="X109" s="149"/>
      <c r="Y109" s="149"/>
      <c r="Z109" s="149"/>
      <c r="AA109" s="149"/>
      <c r="AB109" s="149"/>
      <c r="AC109" s="1283" t="s">
        <v>118</v>
      </c>
      <c r="AD109" s="1284">
        <v>1</v>
      </c>
      <c r="AE109" s="1285">
        <f>UCTPHOP_i_NXI</f>
        <v>0.068</v>
      </c>
      <c r="AF109" s="1286">
        <f>UCTPHOP_i_PXI</f>
        <v>0.021</v>
      </c>
      <c r="AG109" s="9"/>
      <c r="AH109" s="9"/>
      <c r="AI109" s="9"/>
      <c r="AJ109" s="248"/>
    </row>
    <row r="110" spans="1:36" ht="14.25">
      <c r="A110" s="248"/>
      <c r="B110" s="248"/>
      <c r="C110" s="248"/>
      <c r="D110" s="248"/>
      <c r="E110" s="248"/>
      <c r="F110" s="248"/>
      <c r="G110" s="248"/>
      <c r="H110" s="251"/>
      <c r="I110" s="251"/>
      <c r="J110" s="149"/>
      <c r="K110" s="149"/>
      <c r="L110" s="149"/>
      <c r="M110" s="149"/>
      <c r="N110" s="149"/>
      <c r="O110" s="149"/>
      <c r="P110" s="149"/>
      <c r="Q110" s="149"/>
      <c r="R110" s="149"/>
      <c r="S110" s="149"/>
      <c r="T110" s="149"/>
      <c r="U110" s="149"/>
      <c r="V110" s="149"/>
      <c r="W110" s="149"/>
      <c r="X110" s="149"/>
      <c r="Y110" s="149"/>
      <c r="Z110" s="149"/>
      <c r="AA110" s="149"/>
      <c r="AB110" s="149"/>
      <c r="AC110" s="1283" t="s">
        <v>119</v>
      </c>
      <c r="AD110" s="1284">
        <v>1</v>
      </c>
      <c r="AE110" s="1285">
        <f>UCTPHOP_i_NENM</f>
        <v>0.05</v>
      </c>
      <c r="AF110" s="1286">
        <f>UCTPHOP_i_PENM</f>
        <v>0</v>
      </c>
      <c r="AG110" s="9"/>
      <c r="AH110" s="9"/>
      <c r="AI110" s="9"/>
      <c r="AJ110" s="248"/>
    </row>
    <row r="111" spans="1:36" ht="14.25">
      <c r="A111" s="248"/>
      <c r="B111" s="248"/>
      <c r="C111" s="248"/>
      <c r="D111" s="248"/>
      <c r="E111" s="248"/>
      <c r="F111" s="248"/>
      <c r="G111" s="248"/>
      <c r="H111" s="251"/>
      <c r="I111" s="251"/>
      <c r="J111" s="149"/>
      <c r="K111" s="149"/>
      <c r="L111" s="149"/>
      <c r="M111" s="149"/>
      <c r="N111" s="149"/>
      <c r="O111" s="149"/>
      <c r="P111" s="149"/>
      <c r="Q111" s="149"/>
      <c r="R111" s="149"/>
      <c r="S111" s="149"/>
      <c r="T111" s="149"/>
      <c r="U111" s="149"/>
      <c r="V111" s="149"/>
      <c r="W111" s="149"/>
      <c r="X111" s="149"/>
      <c r="Y111" s="149"/>
      <c r="Z111" s="149"/>
      <c r="AA111" s="149"/>
      <c r="AB111" s="149"/>
      <c r="AC111" s="1283" t="s">
        <v>120</v>
      </c>
      <c r="AD111" s="1284">
        <v>1</v>
      </c>
      <c r="AE111" s="1285">
        <f>UCTPHOP_i_NENM</f>
        <v>0.05</v>
      </c>
      <c r="AF111" s="1286">
        <f>UCTPHOP_i_PENM</f>
        <v>0</v>
      </c>
      <c r="AG111" s="9"/>
      <c r="AH111" s="9"/>
      <c r="AI111" s="9"/>
      <c r="AJ111" s="248"/>
    </row>
    <row r="112" spans="1:36" ht="14.25">
      <c r="A112" s="248"/>
      <c r="B112" s="248"/>
      <c r="C112" s="248"/>
      <c r="D112" s="248"/>
      <c r="E112" s="248"/>
      <c r="F112" s="248"/>
      <c r="G112" s="248"/>
      <c r="H112" s="251"/>
      <c r="I112" s="251"/>
      <c r="J112" s="149"/>
      <c r="K112" s="149"/>
      <c r="L112" s="149"/>
      <c r="M112" s="149"/>
      <c r="N112" s="149"/>
      <c r="O112" s="149"/>
      <c r="P112" s="149"/>
      <c r="Q112" s="149"/>
      <c r="R112" s="149"/>
      <c r="S112" s="149"/>
      <c r="T112" s="149"/>
      <c r="U112" s="149"/>
      <c r="V112" s="149"/>
      <c r="W112" s="149"/>
      <c r="X112" s="149"/>
      <c r="Y112" s="149"/>
      <c r="Z112" s="149"/>
      <c r="AA112" s="149"/>
      <c r="AB112" s="149"/>
      <c r="AC112" s="1283" t="s">
        <v>121</v>
      </c>
      <c r="AD112" s="1284">
        <v>1</v>
      </c>
      <c r="AE112" s="1285">
        <f>UCTPHOP_i_NBM</f>
        <v>0.068</v>
      </c>
      <c r="AF112" s="1286">
        <f>UCTPHOP_i_PBM</f>
        <v>0.021</v>
      </c>
      <c r="AG112" s="9"/>
      <c r="AH112" s="9"/>
      <c r="AI112" s="9"/>
      <c r="AJ112" s="248"/>
    </row>
    <row r="113" spans="1:36" ht="14.25">
      <c r="A113" s="248"/>
      <c r="B113" s="248"/>
      <c r="C113" s="248"/>
      <c r="D113" s="248"/>
      <c r="E113" s="248"/>
      <c r="F113" s="248"/>
      <c r="G113" s="248"/>
      <c r="H113" s="251"/>
      <c r="I113" s="251"/>
      <c r="J113" s="149"/>
      <c r="K113" s="149"/>
      <c r="L113" s="149"/>
      <c r="M113" s="149"/>
      <c r="N113" s="149"/>
      <c r="O113" s="149"/>
      <c r="P113" s="149"/>
      <c r="Q113" s="149"/>
      <c r="R113" s="149"/>
      <c r="S113" s="149"/>
      <c r="T113" s="149"/>
      <c r="U113" s="149"/>
      <c r="V113" s="149"/>
      <c r="W113" s="149"/>
      <c r="X113" s="149"/>
      <c r="Y113" s="149"/>
      <c r="Z113" s="149"/>
      <c r="AA113" s="149"/>
      <c r="AB113" s="149"/>
      <c r="AC113" s="1283" t="s">
        <v>122</v>
      </c>
      <c r="AD113" s="1284">
        <v>1</v>
      </c>
      <c r="AE113" s="1285">
        <f>UCTPHOP_i_NBM</f>
        <v>0.068</v>
      </c>
      <c r="AF113" s="1286">
        <f>UCTPHOP_i_PBM</f>
        <v>0.021</v>
      </c>
      <c r="AG113" s="9"/>
      <c r="AH113" s="9"/>
      <c r="AI113" s="9"/>
      <c r="AJ113" s="248"/>
    </row>
    <row r="114" spans="1:36" ht="14.25">
      <c r="A114" s="248"/>
      <c r="B114" s="248"/>
      <c r="C114" s="248"/>
      <c r="D114" s="248"/>
      <c r="E114" s="248"/>
      <c r="F114" s="248"/>
      <c r="G114" s="248"/>
      <c r="H114" s="251"/>
      <c r="I114" s="251"/>
      <c r="J114" s="149"/>
      <c r="K114" s="149"/>
      <c r="L114" s="149"/>
      <c r="M114" s="149"/>
      <c r="N114" s="149"/>
      <c r="O114" s="149"/>
      <c r="P114" s="149"/>
      <c r="Q114" s="149"/>
      <c r="R114" s="149"/>
      <c r="S114" s="149"/>
      <c r="T114" s="149"/>
      <c r="U114" s="149"/>
      <c r="V114" s="149"/>
      <c r="W114" s="149"/>
      <c r="X114" s="149"/>
      <c r="Y114" s="149"/>
      <c r="Z114" s="149"/>
      <c r="AA114" s="149"/>
      <c r="AB114" s="149"/>
      <c r="AC114" s="1283" t="s">
        <v>123</v>
      </c>
      <c r="AD114" s="1284"/>
      <c r="AE114" s="1285"/>
      <c r="AF114" s="1286">
        <v>1</v>
      </c>
      <c r="AG114" s="9"/>
      <c r="AH114" s="9"/>
      <c r="AI114" s="9"/>
      <c r="AJ114" s="248"/>
    </row>
    <row r="115" spans="1:36" ht="14.25">
      <c r="A115" s="248"/>
      <c r="B115" s="248"/>
      <c r="C115" s="248"/>
      <c r="D115" s="248"/>
      <c r="E115" s="248"/>
      <c r="F115" s="248"/>
      <c r="G115" s="248"/>
      <c r="H115" s="251"/>
      <c r="I115" s="251"/>
      <c r="J115" s="149"/>
      <c r="K115" s="149"/>
      <c r="L115" s="149"/>
      <c r="M115" s="149"/>
      <c r="N115" s="149"/>
      <c r="O115" s="149"/>
      <c r="P115" s="149"/>
      <c r="Q115" s="149"/>
      <c r="R115" s="149"/>
      <c r="S115" s="149"/>
      <c r="T115" s="149"/>
      <c r="U115" s="149"/>
      <c r="V115" s="149"/>
      <c r="W115" s="149"/>
      <c r="X115" s="149"/>
      <c r="Y115" s="149"/>
      <c r="Z115" s="149"/>
      <c r="AA115" s="149"/>
      <c r="AB115" s="149"/>
      <c r="AC115" s="1283" t="s">
        <v>124</v>
      </c>
      <c r="AD115" s="1284">
        <v>1</v>
      </c>
      <c r="AE115" s="1285"/>
      <c r="AF115" s="1286"/>
      <c r="AG115" s="9"/>
      <c r="AH115" s="9"/>
      <c r="AI115" s="9"/>
      <c r="AJ115" s="248"/>
    </row>
    <row r="116" spans="1:36" ht="14.25">
      <c r="A116" s="248"/>
      <c r="B116" s="248"/>
      <c r="C116" s="248"/>
      <c r="D116" s="248"/>
      <c r="E116" s="248"/>
      <c r="F116" s="248"/>
      <c r="G116" s="248"/>
      <c r="H116" s="251"/>
      <c r="I116" s="251"/>
      <c r="J116" s="149"/>
      <c r="K116" s="149"/>
      <c r="L116" s="149"/>
      <c r="M116" s="149"/>
      <c r="N116" s="149"/>
      <c r="O116" s="149"/>
      <c r="P116" s="149"/>
      <c r="Q116" s="149"/>
      <c r="R116" s="149"/>
      <c r="S116" s="149"/>
      <c r="T116" s="149"/>
      <c r="U116" s="149"/>
      <c r="V116" s="149"/>
      <c r="W116" s="149"/>
      <c r="X116" s="149"/>
      <c r="Y116" s="149"/>
      <c r="Z116" s="149"/>
      <c r="AA116" s="149"/>
      <c r="AB116" s="149"/>
      <c r="AC116" s="1283" t="s">
        <v>125</v>
      </c>
      <c r="AD116" s="1287">
        <v>1</v>
      </c>
      <c r="AE116" s="1285">
        <f>UCTPHOP_i_NBM</f>
        <v>0.068</v>
      </c>
      <c r="AF116" s="1286">
        <f>UCTPHOP_i_PBM</f>
        <v>0.021</v>
      </c>
      <c r="AG116" s="9"/>
      <c r="AH116" s="9"/>
      <c r="AI116" s="9"/>
      <c r="AJ116" s="248"/>
    </row>
    <row r="117" spans="1:36" ht="15" thickBot="1">
      <c r="A117" s="248"/>
      <c r="B117" s="248"/>
      <c r="C117" s="248"/>
      <c r="D117" s="248"/>
      <c r="E117" s="248"/>
      <c r="F117" s="248"/>
      <c r="G117" s="248"/>
      <c r="H117" s="251"/>
      <c r="I117" s="251"/>
      <c r="J117" s="149"/>
      <c r="K117" s="149"/>
      <c r="L117" s="149"/>
      <c r="M117" s="149"/>
      <c r="N117" s="149"/>
      <c r="O117" s="149"/>
      <c r="P117" s="149"/>
      <c r="Q117" s="149"/>
      <c r="R117" s="149"/>
      <c r="S117" s="149"/>
      <c r="T117" s="149"/>
      <c r="U117" s="149"/>
      <c r="V117" s="149"/>
      <c r="W117" s="149"/>
      <c r="X117" s="149"/>
      <c r="Y117" s="149"/>
      <c r="Z117" s="149"/>
      <c r="AA117" s="149"/>
      <c r="AB117" s="149"/>
      <c r="AC117" s="1288" t="s">
        <v>126</v>
      </c>
      <c r="AD117" s="1289">
        <f>UCTPHOP_i_COD_N2</f>
        <v>-1.7142857142857142</v>
      </c>
      <c r="AE117" s="1290">
        <v>1</v>
      </c>
      <c r="AF117" s="1291"/>
      <c r="AG117" s="9"/>
      <c r="AH117" s="9"/>
      <c r="AI117" s="9"/>
      <c r="AJ117" s="248"/>
    </row>
    <row r="118" spans="1:36" ht="15" thickBot="1">
      <c r="A118" s="248"/>
      <c r="B118" s="248"/>
      <c r="C118" s="248"/>
      <c r="D118" s="248"/>
      <c r="E118" s="248"/>
      <c r="F118" s="248"/>
      <c r="G118" s="248"/>
      <c r="H118" s="251"/>
      <c r="I118" s="251"/>
      <c r="J118" s="1292" t="s">
        <v>1606</v>
      </c>
      <c r="K118" s="1293"/>
      <c r="L118" s="1294" t="s">
        <v>110</v>
      </c>
      <c r="M118" s="1294" t="s">
        <v>111</v>
      </c>
      <c r="N118" s="1294" t="s">
        <v>112</v>
      </c>
      <c r="O118" s="1294" t="s">
        <v>113</v>
      </c>
      <c r="P118" s="1294" t="s">
        <v>114</v>
      </c>
      <c r="Q118" s="1294" t="s">
        <v>115</v>
      </c>
      <c r="R118" s="1294" t="s">
        <v>116</v>
      </c>
      <c r="S118" s="1294" t="s">
        <v>117</v>
      </c>
      <c r="T118" s="1294" t="s">
        <v>118</v>
      </c>
      <c r="U118" s="1294" t="s">
        <v>119</v>
      </c>
      <c r="V118" s="1294" t="s">
        <v>120</v>
      </c>
      <c r="W118" s="1294" t="s">
        <v>121</v>
      </c>
      <c r="X118" s="1294" t="s">
        <v>122</v>
      </c>
      <c r="Y118" s="1294" t="s">
        <v>123</v>
      </c>
      <c r="Z118" s="1294" t="s">
        <v>124</v>
      </c>
      <c r="AA118" s="1294" t="s">
        <v>125</v>
      </c>
      <c r="AB118" s="1295" t="s">
        <v>126</v>
      </c>
      <c r="AC118" s="149"/>
      <c r="AD118" s="149"/>
      <c r="AE118" s="149"/>
      <c r="AF118" s="149"/>
      <c r="AG118" s="9"/>
      <c r="AH118" s="9"/>
      <c r="AI118" s="9"/>
      <c r="AJ118" s="248"/>
    </row>
    <row r="119" spans="1:36" ht="14.25">
      <c r="A119" s="248"/>
      <c r="B119" s="248"/>
      <c r="C119" s="248"/>
      <c r="D119" s="248"/>
      <c r="E119" s="248"/>
      <c r="F119" s="248"/>
      <c r="G119" s="248"/>
      <c r="H119" s="251"/>
      <c r="I119" s="251"/>
      <c r="J119" s="1296">
        <v>1</v>
      </c>
      <c r="K119" s="1160" t="s">
        <v>441</v>
      </c>
      <c r="L119" s="1297">
        <f>-(1-UCTPHOP_Y_H1)/UCTPHOP_Y_H1</f>
        <v>-0.5015015015015014</v>
      </c>
      <c r="M119" s="1297">
        <f>-1/UCTPHOP_Y_H1</f>
        <v>-1.5015015015015014</v>
      </c>
      <c r="N119" s="1297"/>
      <c r="O119" s="1298">
        <f>-UCTPHOP_i_NBM</f>
        <v>-0.068</v>
      </c>
      <c r="P119" s="1297"/>
      <c r="Q119" s="1298">
        <f>-UCTPHOP_i_PBM</f>
        <v>-0.021</v>
      </c>
      <c r="R119" s="1298"/>
      <c r="S119" s="1298"/>
      <c r="T119" s="1298"/>
      <c r="U119" s="1298"/>
      <c r="V119" s="1298"/>
      <c r="W119" s="1299" t="s">
        <v>2467</v>
      </c>
      <c r="X119" s="1299"/>
      <c r="Y119" s="1298"/>
      <c r="Z119" s="1298"/>
      <c r="AA119" s="1299"/>
      <c r="AB119" s="1300"/>
      <c r="AC119" s="149"/>
      <c r="AD119" s="1301">
        <f aca="true" t="shared" si="0" ref="AD119:AF138">$L119*AD$101+$M119*AD$102+$N119*AD$103+$O119*AD$104+$P119*AD$105+$Q119*AD$106+$R119*AD$107+$S119*AD$108+$T119*AD$109+$U119*AD$110+$V119*AD$111+$W119*AD$112+$X119*AD$113+$Y119*AD$114+$Z119*AD$115+$AA119*AD$116+$AB119*AD$117</f>
        <v>0</v>
      </c>
      <c r="AE119" s="1302">
        <f t="shared" si="0"/>
        <v>0</v>
      </c>
      <c r="AF119" s="1303">
        <f t="shared" si="0"/>
        <v>0</v>
      </c>
      <c r="AG119" s="9"/>
      <c r="AH119" s="9"/>
      <c r="AI119" s="9"/>
      <c r="AJ119" s="248"/>
    </row>
    <row r="120" spans="1:36" ht="14.25">
      <c r="A120" s="248"/>
      <c r="B120" s="248"/>
      <c r="C120" s="248"/>
      <c r="D120" s="248"/>
      <c r="E120" s="248"/>
      <c r="F120" s="248"/>
      <c r="G120" s="248"/>
      <c r="H120" s="251"/>
      <c r="I120" s="251"/>
      <c r="J120" s="1296">
        <v>3</v>
      </c>
      <c r="K120" s="1160" t="s">
        <v>447</v>
      </c>
      <c r="L120" s="1297">
        <f>-(1-UCTPHOP_Y_H1)/UCTPHOP_Y_H1-UCTPHOP_i_COD_NOx*UCTPHOP_i_NBM</f>
        <v>-0.19064435864435852</v>
      </c>
      <c r="M120" s="1297">
        <f>-1/UCTPHOP_Y_H1</f>
        <v>-1.5015015015015014</v>
      </c>
      <c r="N120" s="1297"/>
      <c r="O120" s="1298"/>
      <c r="P120" s="1298">
        <f>-UCTPHOP_i_NBM</f>
        <v>-0.068</v>
      </c>
      <c r="Q120" s="1298">
        <f>-UCTPHOP_i_PBM</f>
        <v>-0.021</v>
      </c>
      <c r="R120" s="1298"/>
      <c r="S120" s="1298"/>
      <c r="T120" s="1299"/>
      <c r="U120" s="1299"/>
      <c r="V120" s="1299"/>
      <c r="W120" s="1299" t="s">
        <v>2467</v>
      </c>
      <c r="X120" s="1299"/>
      <c r="Y120" s="1298"/>
      <c r="Z120" s="1298"/>
      <c r="AA120" s="1299"/>
      <c r="AB120" s="1300"/>
      <c r="AC120" s="149"/>
      <c r="AD120" s="1304">
        <f t="shared" si="0"/>
        <v>0</v>
      </c>
      <c r="AE120" s="1305">
        <f t="shared" si="0"/>
        <v>0</v>
      </c>
      <c r="AF120" s="1306">
        <f t="shared" si="0"/>
        <v>0</v>
      </c>
      <c r="AG120" s="9"/>
      <c r="AH120" s="9"/>
      <c r="AI120" s="9"/>
      <c r="AJ120" s="248"/>
    </row>
    <row r="121" spans="1:36" ht="14.25">
      <c r="A121" s="248"/>
      <c r="B121" s="248"/>
      <c r="C121" s="248"/>
      <c r="D121" s="248"/>
      <c r="E121" s="248"/>
      <c r="F121" s="248"/>
      <c r="G121" s="248"/>
      <c r="H121" s="251"/>
      <c r="I121" s="251"/>
      <c r="J121" s="1296">
        <v>2</v>
      </c>
      <c r="K121" s="1160" t="s">
        <v>450</v>
      </c>
      <c r="L121" s="1297"/>
      <c r="M121" s="1297">
        <f>-1/UCTPHOP_Y_H2</f>
        <v>-1.8518518518518516</v>
      </c>
      <c r="N121" s="1297"/>
      <c r="O121" s="1298">
        <f>-UCTPHOP_i_NBM</f>
        <v>-0.068</v>
      </c>
      <c r="P121" s="1297">
        <f>-(1-UCTPHOP_Y_H2)/(UCTPHOP_i_NOx.N2*UCTPHOP_Y_H2)</f>
        <v>-0.2981481481481481</v>
      </c>
      <c r="Q121" s="1298">
        <f>-UCTPHOP_i_PBM</f>
        <v>-0.021</v>
      </c>
      <c r="R121" s="1298"/>
      <c r="S121" s="1298"/>
      <c r="T121" s="1299"/>
      <c r="U121" s="1299"/>
      <c r="V121" s="1299"/>
      <c r="W121" s="1299">
        <v>1</v>
      </c>
      <c r="X121" s="1299"/>
      <c r="Y121" s="1298"/>
      <c r="Z121" s="1298"/>
      <c r="AA121" s="1299"/>
      <c r="AB121" s="1300">
        <f>(1-UCTPHOP_Y_H2)/(UCTPHOP_i_NOx.N2*UCTPHOP_Y_H2)</f>
        <v>0.2981481481481481</v>
      </c>
      <c r="AC121" s="149"/>
      <c r="AD121" s="1304">
        <f t="shared" si="0"/>
        <v>0</v>
      </c>
      <c r="AE121" s="1305">
        <f t="shared" si="0"/>
        <v>0</v>
      </c>
      <c r="AF121" s="1306">
        <f t="shared" si="0"/>
        <v>0</v>
      </c>
      <c r="AG121" s="9"/>
      <c r="AH121" s="9"/>
      <c r="AI121" s="9"/>
      <c r="AJ121" s="248"/>
    </row>
    <row r="122" spans="1:36" ht="14.25">
      <c r="A122" s="248"/>
      <c r="B122" s="248"/>
      <c r="C122" s="248"/>
      <c r="D122" s="248"/>
      <c r="E122" s="248"/>
      <c r="F122" s="248"/>
      <c r="G122" s="248"/>
      <c r="H122" s="251"/>
      <c r="I122" s="251"/>
      <c r="J122" s="1296">
        <v>4</v>
      </c>
      <c r="K122" s="1160" t="s">
        <v>455</v>
      </c>
      <c r="L122" s="1298"/>
      <c r="M122" s="1297">
        <f>-1/UCTPHOP_Y_H2+UCTPHOP_i_COD_NOx*UCTPHOP_i_NBM</f>
        <v>-2.1627089947089946</v>
      </c>
      <c r="N122" s="1297"/>
      <c r="O122" s="1298"/>
      <c r="P122" s="1297">
        <f>-UCTPHOP_i_NBM-(1-UCTPHOP_Y_H2)/(UCTPHOP_i_NOx.N2*UCTPHOP_Y_H2)</f>
        <v>-0.3661481481481481</v>
      </c>
      <c r="Q122" s="1298">
        <f>-UCTPHOP_i_PBM</f>
        <v>-0.021</v>
      </c>
      <c r="R122" s="1298"/>
      <c r="S122" s="1298"/>
      <c r="T122" s="1298"/>
      <c r="U122" s="1298"/>
      <c r="V122" s="1298"/>
      <c r="W122" s="1299">
        <v>1</v>
      </c>
      <c r="X122" s="1299"/>
      <c r="Y122" s="1298"/>
      <c r="Z122" s="1298"/>
      <c r="AA122" s="1299"/>
      <c r="AB122" s="1300">
        <f>(1-UCTPHOP_Y_H2)/(UCTPHOP_i_NOx.N2*UCTPHOP_Y_H2)</f>
        <v>0.2981481481481481</v>
      </c>
      <c r="AC122" s="149"/>
      <c r="AD122" s="1304">
        <f t="shared" si="0"/>
        <v>0</v>
      </c>
      <c r="AE122" s="1305">
        <f t="shared" si="0"/>
        <v>0</v>
      </c>
      <c r="AF122" s="1306">
        <f t="shared" si="0"/>
        <v>0</v>
      </c>
      <c r="AG122" s="9"/>
      <c r="AH122" s="9"/>
      <c r="AI122" s="9"/>
      <c r="AJ122" s="248"/>
    </row>
    <row r="123" spans="1:36" ht="14.25">
      <c r="A123" s="248"/>
      <c r="B123" s="248"/>
      <c r="C123" s="248"/>
      <c r="D123" s="248"/>
      <c r="E123" s="248"/>
      <c r="F123" s="248"/>
      <c r="G123" s="248"/>
      <c r="H123" s="251"/>
      <c r="I123" s="251"/>
      <c r="J123" s="1296">
        <v>5</v>
      </c>
      <c r="K123" s="1160" t="s">
        <v>459</v>
      </c>
      <c r="L123" s="1297">
        <f>-(1-UCTPHOP_Y_H1)/UCTPHOP_Y_H1</f>
        <v>-0.5015015015015014</v>
      </c>
      <c r="M123" s="1297"/>
      <c r="N123" s="1297">
        <f>-1/UCTPHOP_Y_H1</f>
        <v>-1.5015015015015014</v>
      </c>
      <c r="O123" s="1298">
        <f>-UCTPHOP_i_NBM+UCTPHOP_i_NSF/UCTPHOP_Y_H1</f>
        <v>-0.051483483483483486</v>
      </c>
      <c r="P123" s="1298"/>
      <c r="Q123" s="1298">
        <f>-UCTPHOP_i_PBM+UCTPHOP_i_PSF/UCTPHOP_Y_H1</f>
        <v>-0.021</v>
      </c>
      <c r="R123" s="1298"/>
      <c r="S123" s="1298"/>
      <c r="T123" s="1298"/>
      <c r="U123" s="1298"/>
      <c r="V123" s="1298"/>
      <c r="W123" s="1299">
        <v>1</v>
      </c>
      <c r="X123" s="1299"/>
      <c r="Y123" s="1298"/>
      <c r="Z123" s="1298"/>
      <c r="AA123" s="1299"/>
      <c r="AB123" s="1300"/>
      <c r="AC123" s="149"/>
      <c r="AD123" s="1304">
        <f t="shared" si="0"/>
        <v>0</v>
      </c>
      <c r="AE123" s="1305">
        <f t="shared" si="0"/>
        <v>0</v>
      </c>
      <c r="AF123" s="1306">
        <f t="shared" si="0"/>
        <v>0</v>
      </c>
      <c r="AG123" s="9"/>
      <c r="AH123" s="9"/>
      <c r="AI123" s="9"/>
      <c r="AJ123" s="248"/>
    </row>
    <row r="124" spans="1:36" ht="14.25">
      <c r="A124" s="248"/>
      <c r="B124" s="248"/>
      <c r="C124" s="248"/>
      <c r="D124" s="248"/>
      <c r="E124" s="248"/>
      <c r="F124" s="248"/>
      <c r="G124" s="248"/>
      <c r="H124" s="251"/>
      <c r="I124" s="251"/>
      <c r="J124" s="1296">
        <v>7</v>
      </c>
      <c r="K124" s="1160" t="s">
        <v>463</v>
      </c>
      <c r="L124" s="1297">
        <f>-(1-UCTPHOP_Y_H1)/UCTPHOP_Y_H1-UCTPHOP_i_COD_NOx*UCTPHOP_i_NBM</f>
        <v>-0.19064435864435852</v>
      </c>
      <c r="M124" s="1297"/>
      <c r="N124" s="1297">
        <f>-1/UCTPHOP_Y_H1</f>
        <v>-1.5015015015015014</v>
      </c>
      <c r="O124" s="1298">
        <f>UCTPHOP_i_NSF/UCTPHOP_Y_H1</f>
        <v>0.016516516516516516</v>
      </c>
      <c r="P124" s="1298">
        <f>-UCTPHOP_i_NBM</f>
        <v>-0.068</v>
      </c>
      <c r="Q124" s="1298">
        <f>-UCTPHOP_i_PBM+UCTPHOP_i_PSF/UCTPHOP_Y_H1</f>
        <v>-0.021</v>
      </c>
      <c r="R124" s="1298"/>
      <c r="S124" s="1298"/>
      <c r="T124" s="1298"/>
      <c r="U124" s="1298"/>
      <c r="V124" s="1298"/>
      <c r="W124" s="1299" t="s">
        <v>2467</v>
      </c>
      <c r="X124" s="1299"/>
      <c r="Y124" s="1298"/>
      <c r="Z124" s="1298"/>
      <c r="AA124" s="1299"/>
      <c r="AB124" s="1300"/>
      <c r="AC124" s="149"/>
      <c r="AD124" s="1304">
        <f t="shared" si="0"/>
        <v>0</v>
      </c>
      <c r="AE124" s="1305">
        <f t="shared" si="0"/>
        <v>0</v>
      </c>
      <c r="AF124" s="1306">
        <f t="shared" si="0"/>
        <v>0</v>
      </c>
      <c r="AG124" s="9"/>
      <c r="AH124" s="9"/>
      <c r="AI124" s="9"/>
      <c r="AJ124" s="248"/>
    </row>
    <row r="125" spans="1:36" ht="14.25">
      <c r="A125" s="248"/>
      <c r="B125" s="248"/>
      <c r="C125" s="248"/>
      <c r="D125" s="248"/>
      <c r="E125" s="248"/>
      <c r="F125" s="248"/>
      <c r="G125" s="248"/>
      <c r="H125" s="251"/>
      <c r="I125" s="251"/>
      <c r="J125" s="1296">
        <v>6</v>
      </c>
      <c r="K125" s="1160" t="s">
        <v>466</v>
      </c>
      <c r="L125" s="1297"/>
      <c r="M125" s="1297"/>
      <c r="N125" s="1297">
        <f>-1/UCTPHOP_Y_H2</f>
        <v>-1.8518518518518516</v>
      </c>
      <c r="O125" s="1298">
        <f>-UCTPHOP_i_NBM+UCTPHOP_i_NSF/UCTPHOP_Y_H2</f>
        <v>-0.04762962962962963</v>
      </c>
      <c r="P125" s="1297">
        <f>-(1-UCTPHOP_Y_H2)/(UCTPHOP_i_NOx.N2*UCTPHOP_Y_H2)</f>
        <v>-0.2981481481481481</v>
      </c>
      <c r="Q125" s="1298">
        <f>-UCTPHOP_i_PBM+UCTPHOP_i_PSF/UCTPHOP_Y_H2</f>
        <v>-0.021</v>
      </c>
      <c r="R125" s="1298"/>
      <c r="S125" s="1298"/>
      <c r="T125" s="1298"/>
      <c r="U125" s="1298"/>
      <c r="V125" s="1298"/>
      <c r="W125" s="1299">
        <v>1</v>
      </c>
      <c r="X125" s="1299"/>
      <c r="Y125" s="1298"/>
      <c r="Z125" s="1298"/>
      <c r="AA125" s="1299"/>
      <c r="AB125" s="1300">
        <f>(1-UCTPHOP_Y_H2)/(UCTPHOP_i_NOx.N2*UCTPHOP_Y_H2)</f>
        <v>0.2981481481481481</v>
      </c>
      <c r="AC125" s="149"/>
      <c r="AD125" s="1304">
        <f t="shared" si="0"/>
        <v>0</v>
      </c>
      <c r="AE125" s="1305">
        <f t="shared" si="0"/>
        <v>0</v>
      </c>
      <c r="AF125" s="1306">
        <f t="shared" si="0"/>
        <v>0</v>
      </c>
      <c r="AG125" s="9"/>
      <c r="AH125" s="9"/>
      <c r="AI125" s="9"/>
      <c r="AJ125" s="248"/>
    </row>
    <row r="126" spans="1:36" ht="14.25">
      <c r="A126" s="248"/>
      <c r="B126" s="248"/>
      <c r="C126" s="248"/>
      <c r="D126" s="248"/>
      <c r="E126" s="248"/>
      <c r="F126" s="248"/>
      <c r="G126" s="248"/>
      <c r="H126" s="251"/>
      <c r="I126" s="251"/>
      <c r="J126" s="1296">
        <v>8</v>
      </c>
      <c r="K126" s="1160" t="s">
        <v>470</v>
      </c>
      <c r="L126" s="1297"/>
      <c r="M126" s="1297"/>
      <c r="N126" s="1297">
        <f>-1/UCTPHOP_Y_H2+UCTPHOP_i_COD_NOx*UCTPHOP_i_NBM</f>
        <v>-2.1627089947089946</v>
      </c>
      <c r="O126" s="1298">
        <f>UCTPHOP_i_NSF/UCTPHOP_Y_H2-UCTPHOP_i_COD_NOx*UCTPHOP_i_NBM*UCTPHOP_i_NSF</f>
        <v>0.02378979894179894</v>
      </c>
      <c r="P126" s="1297">
        <f>-UCTPHOP_i_NBM-(1-UCTPHOP_Y_H2)/(UCTPHOP_i_NOx.N2*UCTPHOP_Y_H2)</f>
        <v>-0.3661481481481481</v>
      </c>
      <c r="Q126" s="1298">
        <f>-UCTPHOP_i_PBM+UCTPHOP_i_PSF/UCTPHOP_Y_H2-UCTPHOP_i_COD_NOx*UCTPHOP_i_NBM*UCTPHOP_i_PSF</f>
        <v>-0.021</v>
      </c>
      <c r="R126" s="1298"/>
      <c r="S126" s="1298"/>
      <c r="T126" s="1298"/>
      <c r="U126" s="1298"/>
      <c r="V126" s="1298"/>
      <c r="W126" s="1299">
        <v>1</v>
      </c>
      <c r="X126" s="1299"/>
      <c r="Y126" s="1298"/>
      <c r="Z126" s="1298"/>
      <c r="AA126" s="1299"/>
      <c r="AB126" s="1300">
        <f>(1-UCTPHOP_Y_H2)/(UCTPHOP_i_NOx.N2*UCTPHOP_Y_H2)</f>
        <v>0.2981481481481481</v>
      </c>
      <c r="AC126" s="149"/>
      <c r="AD126" s="1304">
        <f t="shared" si="0"/>
        <v>0</v>
      </c>
      <c r="AE126" s="1305">
        <f t="shared" si="0"/>
        <v>0</v>
      </c>
      <c r="AF126" s="1306">
        <f t="shared" si="0"/>
        <v>0</v>
      </c>
      <c r="AG126" s="9"/>
      <c r="AH126" s="9"/>
      <c r="AI126" s="9"/>
      <c r="AJ126" s="248"/>
    </row>
    <row r="127" spans="1:36" ht="14.25">
      <c r="A127" s="248"/>
      <c r="B127" s="248"/>
      <c r="C127" s="248"/>
      <c r="D127" s="248"/>
      <c r="E127" s="248"/>
      <c r="F127" s="248"/>
      <c r="G127" s="248"/>
      <c r="H127" s="251"/>
      <c r="I127" s="251"/>
      <c r="J127" s="1296">
        <v>9</v>
      </c>
      <c r="K127" s="1160" t="s">
        <v>474</v>
      </c>
      <c r="L127" s="1297">
        <f>-(1-UCTPHOP_Y_H1)/UCTPHOP_Y_H1</f>
        <v>-0.5015015015015014</v>
      </c>
      <c r="M127" s="1297"/>
      <c r="N127" s="1297"/>
      <c r="O127" s="1298">
        <f>-UCTPHOP_i_NBM+UCTPHOP_i_NENM/UCTPHOP_Y_H1</f>
        <v>0.007075075075075071</v>
      </c>
      <c r="P127" s="1298"/>
      <c r="Q127" s="1298">
        <f>-UCTPHOP_i_PBM+UCTPHOP_i_PENM/UCTPHOP_Y_H1</f>
        <v>-0.021</v>
      </c>
      <c r="R127" s="1298"/>
      <c r="S127" s="1298"/>
      <c r="T127" s="1298"/>
      <c r="U127" s="1297">
        <f>-1/UCTPHOP_Y_H1</f>
        <v>-1.5015015015015014</v>
      </c>
      <c r="V127" s="1298"/>
      <c r="W127" s="1299">
        <v>1</v>
      </c>
      <c r="X127" s="1299"/>
      <c r="Y127" s="1298"/>
      <c r="Z127" s="1298"/>
      <c r="AA127" s="1299"/>
      <c r="AB127" s="1300"/>
      <c r="AC127" s="149"/>
      <c r="AD127" s="1304">
        <f t="shared" si="0"/>
        <v>0</v>
      </c>
      <c r="AE127" s="1305">
        <f t="shared" si="0"/>
        <v>0</v>
      </c>
      <c r="AF127" s="1306">
        <f t="shared" si="0"/>
        <v>0</v>
      </c>
      <c r="AG127" s="9"/>
      <c r="AH127" s="9"/>
      <c r="AI127" s="9"/>
      <c r="AJ127" s="248"/>
    </row>
    <row r="128" spans="1:36" ht="14.25">
      <c r="A128" s="248"/>
      <c r="B128" s="248"/>
      <c r="C128" s="248"/>
      <c r="D128" s="248"/>
      <c r="E128" s="248"/>
      <c r="F128" s="248"/>
      <c r="G128" s="248"/>
      <c r="H128" s="251"/>
      <c r="I128" s="251"/>
      <c r="J128" s="1296">
        <v>10</v>
      </c>
      <c r="K128" s="1160" t="s">
        <v>478</v>
      </c>
      <c r="L128" s="1297">
        <f>-(1-UCTPHOP_Y_H1)/UCTPHOP_Y_H1-UCTPHOP_i_COD_NOx*UCTPHOP_i_NBM</f>
        <v>-0.19064435864435852</v>
      </c>
      <c r="M128" s="1297"/>
      <c r="N128" s="1297"/>
      <c r="O128" s="1298">
        <f>UCTPHOP_i_NENM/UCTPHOP_Y_H1</f>
        <v>0.07507507507507508</v>
      </c>
      <c r="P128" s="1298">
        <f>-UCTPHOP_i_NBM</f>
        <v>-0.068</v>
      </c>
      <c r="Q128" s="1298">
        <f>-UCTPHOP_i_PBM+UCTPHOP_i_PENM/UCTPHOP_Y_H1</f>
        <v>-0.021</v>
      </c>
      <c r="R128" s="1298"/>
      <c r="S128" s="1298"/>
      <c r="T128" s="1298"/>
      <c r="U128" s="1297">
        <f>-1/UCTPHOP_Y_H1</f>
        <v>-1.5015015015015014</v>
      </c>
      <c r="V128" s="1298"/>
      <c r="W128" s="1299" t="s">
        <v>2467</v>
      </c>
      <c r="X128" s="1299"/>
      <c r="Y128" s="1298"/>
      <c r="Z128" s="1298"/>
      <c r="AA128" s="1299"/>
      <c r="AB128" s="1300"/>
      <c r="AC128" s="149"/>
      <c r="AD128" s="1304">
        <f t="shared" si="0"/>
        <v>0</v>
      </c>
      <c r="AE128" s="1305">
        <f t="shared" si="0"/>
        <v>0</v>
      </c>
      <c r="AF128" s="1306">
        <f t="shared" si="0"/>
        <v>0</v>
      </c>
      <c r="AG128" s="9"/>
      <c r="AH128" s="9"/>
      <c r="AI128" s="9"/>
      <c r="AJ128" s="248"/>
    </row>
    <row r="129" spans="1:36" ht="14.25">
      <c r="A129" s="248"/>
      <c r="B129" s="248"/>
      <c r="C129" s="248"/>
      <c r="D129" s="248"/>
      <c r="E129" s="248"/>
      <c r="F129" s="248"/>
      <c r="G129" s="248"/>
      <c r="H129" s="251"/>
      <c r="I129" s="251"/>
      <c r="J129" s="1296">
        <v>11</v>
      </c>
      <c r="K129" s="1160" t="s">
        <v>481</v>
      </c>
      <c r="L129" s="1297"/>
      <c r="M129" s="1297"/>
      <c r="N129" s="1297"/>
      <c r="O129" s="1298">
        <f>-UCTPHOP_i_NBM+UCTPHOP_i_NENM/UCTPHOP_Y_H2</f>
        <v>0.024592592592592583</v>
      </c>
      <c r="P129" s="1297">
        <f>-(1-UCTPHOP_Y_H2)/(UCTPHOP_i_NOx.N2*UCTPHOP_Y_H2)</f>
        <v>-0.2981481481481481</v>
      </c>
      <c r="Q129" s="1298">
        <f>-UCTPHOP_i_PBM+UCTPHOP_i_PENM/UCTPHOP_Y_H2</f>
        <v>-0.021</v>
      </c>
      <c r="R129" s="1298"/>
      <c r="S129" s="1298"/>
      <c r="T129" s="1298"/>
      <c r="U129" s="1297">
        <f>-1/UCTPHOP_Y_H2</f>
        <v>-1.8518518518518516</v>
      </c>
      <c r="V129" s="1298"/>
      <c r="W129" s="1299">
        <v>1</v>
      </c>
      <c r="X129" s="1299"/>
      <c r="Y129" s="1298"/>
      <c r="Z129" s="1298"/>
      <c r="AA129" s="1299"/>
      <c r="AB129" s="1300">
        <f>(1-UCTPHOP_Y_H2)/(UCTPHOP_i_NOx.N2*UCTPHOP_Y_H2)</f>
        <v>0.2981481481481481</v>
      </c>
      <c r="AC129" s="149"/>
      <c r="AD129" s="1304">
        <f t="shared" si="0"/>
        <v>0</v>
      </c>
      <c r="AE129" s="1305">
        <f t="shared" si="0"/>
        <v>0</v>
      </c>
      <c r="AF129" s="1306">
        <f t="shared" si="0"/>
        <v>0</v>
      </c>
      <c r="AG129" s="9"/>
      <c r="AH129" s="9"/>
      <c r="AI129" s="9"/>
      <c r="AJ129" s="248"/>
    </row>
    <row r="130" spans="1:36" ht="14.25">
      <c r="A130" s="248"/>
      <c r="B130" s="248"/>
      <c r="C130" s="248"/>
      <c r="D130" s="248"/>
      <c r="E130" s="248"/>
      <c r="F130" s="248"/>
      <c r="G130" s="248"/>
      <c r="H130" s="251"/>
      <c r="I130" s="251"/>
      <c r="J130" s="1296">
        <v>12</v>
      </c>
      <c r="K130" s="1160" t="s">
        <v>485</v>
      </c>
      <c r="L130" s="1297"/>
      <c r="M130" s="1297"/>
      <c r="N130" s="1297"/>
      <c r="O130" s="1298">
        <f>UCTPHOP_i_NENM/UCTPHOP_Y_H2-UCTPHOP_i_COD_NOx*UCTPHOP_i_NBM*UCTPHOP_i_NENM</f>
        <v>0.10813544973544974</v>
      </c>
      <c r="P130" s="1297">
        <f>-UCTPHOP_i_NBM-(1-UCTPHOP_Y_H2)/(UCTPHOP_i_NOx.N2*UCTPHOP_Y_H2)</f>
        <v>-0.3661481481481481</v>
      </c>
      <c r="Q130" s="1298">
        <f>-UCTPHOP_i_PBM+UCTPHOP_i_PENM/UCTPHOP_Y_H2-UCTPHOP_i_COD_NOx*UCTPHOP_i_NBM*UCTPHOP_i_PSF</f>
        <v>-0.021</v>
      </c>
      <c r="R130" s="1298"/>
      <c r="S130" s="1298"/>
      <c r="T130" s="1298"/>
      <c r="U130" s="1297">
        <f>-1/UCTPHOP_Y_H2+UCTPHOP_i_COD_NOx*UCTPHOP_i_NBM</f>
        <v>-2.1627089947089946</v>
      </c>
      <c r="V130" s="1298"/>
      <c r="W130" s="1299">
        <v>1</v>
      </c>
      <c r="X130" s="1299"/>
      <c r="Y130" s="1298"/>
      <c r="Z130" s="1298"/>
      <c r="AA130" s="1299"/>
      <c r="AB130" s="1300">
        <f>(1-UCTPHOP_Y_H2)/(UCTPHOP_i_NOx.N2*UCTPHOP_Y_H2)</f>
        <v>0.2981481481481481</v>
      </c>
      <c r="AC130" s="149"/>
      <c r="AD130" s="1304">
        <f t="shared" si="0"/>
        <v>0</v>
      </c>
      <c r="AE130" s="1305">
        <f t="shared" si="0"/>
        <v>0</v>
      </c>
      <c r="AF130" s="1306">
        <f t="shared" si="0"/>
        <v>0</v>
      </c>
      <c r="AG130" s="9"/>
      <c r="AH130" s="9"/>
      <c r="AI130" s="9"/>
      <c r="AJ130" s="248"/>
    </row>
    <row r="131" spans="1:36" ht="14.25">
      <c r="A131" s="248"/>
      <c r="B131" s="248"/>
      <c r="C131" s="248"/>
      <c r="D131" s="248"/>
      <c r="E131" s="248"/>
      <c r="F131" s="248"/>
      <c r="G131" s="248"/>
      <c r="H131" s="251"/>
      <c r="I131" s="251"/>
      <c r="J131" s="1296">
        <v>13</v>
      </c>
      <c r="K131" s="1160" t="s">
        <v>489</v>
      </c>
      <c r="L131" s="1299"/>
      <c r="M131" s="1299"/>
      <c r="N131" s="1299"/>
      <c r="O131" s="1298"/>
      <c r="P131" s="1298"/>
      <c r="Q131" s="1297"/>
      <c r="R131" s="1298"/>
      <c r="S131" s="1298"/>
      <c r="T131" s="1298"/>
      <c r="U131" s="1298">
        <v>1</v>
      </c>
      <c r="V131" s="1297">
        <v>-1</v>
      </c>
      <c r="W131" s="1297"/>
      <c r="X131" s="1298"/>
      <c r="Y131" s="1298"/>
      <c r="Z131" s="1297"/>
      <c r="AA131" s="1298"/>
      <c r="AB131" s="1307"/>
      <c r="AC131" s="149"/>
      <c r="AD131" s="1304">
        <f t="shared" si="0"/>
        <v>0</v>
      </c>
      <c r="AE131" s="1305">
        <f t="shared" si="0"/>
        <v>0</v>
      </c>
      <c r="AF131" s="1306">
        <f t="shared" si="0"/>
        <v>0</v>
      </c>
      <c r="AG131" s="9"/>
      <c r="AH131" s="9"/>
      <c r="AI131" s="9"/>
      <c r="AJ131" s="248"/>
    </row>
    <row r="132" spans="1:36" ht="14.25">
      <c r="A132" s="248"/>
      <c r="B132" s="248"/>
      <c r="C132" s="248"/>
      <c r="D132" s="248"/>
      <c r="E132" s="248"/>
      <c r="F132" s="248"/>
      <c r="G132" s="248"/>
      <c r="H132" s="251"/>
      <c r="I132" s="251"/>
      <c r="J132" s="1296">
        <v>14</v>
      </c>
      <c r="K132" s="1160" t="s">
        <v>1642</v>
      </c>
      <c r="L132" s="1299"/>
      <c r="M132" s="1299"/>
      <c r="N132" s="1299"/>
      <c r="O132" s="1298">
        <f>UCTPHOP_i_NBM-(1-UCTPHOP_f_XE.H)*UCTPHOP_i_NENM-UCTPHOP_f_XE.H*UCTPHOP_i_NXE</f>
        <v>0.01656</v>
      </c>
      <c r="P132" s="1298"/>
      <c r="Q132" s="1297">
        <f>UCTPHOP_i_PBM-UCTPHOP_f_XE.H*UCTPHOP_i_PXE-(1-UCTPHOP_f_XE.H)*UCTPHOP_i_PENM</f>
        <v>0.01932</v>
      </c>
      <c r="R132" s="1298"/>
      <c r="S132" s="1298">
        <f>UCTPHOP_f_XE.H</f>
        <v>0.08</v>
      </c>
      <c r="T132" s="1298"/>
      <c r="U132" s="1298"/>
      <c r="V132" s="1297">
        <f>1-UCTPHOP_f_XE.H</f>
        <v>0.92</v>
      </c>
      <c r="W132" s="1297" t="s">
        <v>2488</v>
      </c>
      <c r="X132" s="1298"/>
      <c r="Y132" s="1298"/>
      <c r="Z132" s="1297"/>
      <c r="AA132" s="1298"/>
      <c r="AB132" s="1307"/>
      <c r="AC132" s="149"/>
      <c r="AD132" s="1304">
        <f t="shared" si="0"/>
        <v>0</v>
      </c>
      <c r="AE132" s="1305">
        <f t="shared" si="0"/>
        <v>0</v>
      </c>
      <c r="AF132" s="1306">
        <f t="shared" si="0"/>
        <v>0</v>
      </c>
      <c r="AG132" s="9"/>
      <c r="AH132" s="9"/>
      <c r="AI132" s="9"/>
      <c r="AJ132" s="248"/>
    </row>
    <row r="133" spans="1:36" ht="14.25">
      <c r="A133" s="248"/>
      <c r="B133" s="248"/>
      <c r="C133" s="248"/>
      <c r="D133" s="248"/>
      <c r="E133" s="248"/>
      <c r="F133" s="248"/>
      <c r="G133" s="248"/>
      <c r="H133" s="251"/>
      <c r="I133" s="251"/>
      <c r="J133" s="1296">
        <v>15</v>
      </c>
      <c r="K133" s="1160" t="s">
        <v>494</v>
      </c>
      <c r="L133" s="1298"/>
      <c r="M133" s="1298">
        <v>1</v>
      </c>
      <c r="N133" s="1298" t="s">
        <v>2488</v>
      </c>
      <c r="O133" s="1298">
        <f>UCTPHOP_i_NSF</f>
        <v>0.011</v>
      </c>
      <c r="P133" s="1298"/>
      <c r="Q133" s="1298">
        <f>UCTPHOP_i_PSF</f>
        <v>0</v>
      </c>
      <c r="R133" s="1298"/>
      <c r="S133" s="1298"/>
      <c r="T133" s="1298"/>
      <c r="U133" s="1298"/>
      <c r="V133" s="1298"/>
      <c r="W133" s="1299"/>
      <c r="X133" s="1299"/>
      <c r="Y133" s="1298"/>
      <c r="Z133" s="1298"/>
      <c r="AA133" s="1299"/>
      <c r="AB133" s="1300"/>
      <c r="AC133" s="149"/>
      <c r="AD133" s="1304">
        <f t="shared" si="0"/>
        <v>0</v>
      </c>
      <c r="AE133" s="1305">
        <f t="shared" si="0"/>
        <v>0</v>
      </c>
      <c r="AF133" s="1306">
        <f t="shared" si="0"/>
        <v>0</v>
      </c>
      <c r="AG133" s="9"/>
      <c r="AH133" s="9"/>
      <c r="AI133" s="9"/>
      <c r="AJ133" s="248"/>
    </row>
    <row r="134" spans="1:36" ht="14.25">
      <c r="A134" s="248"/>
      <c r="B134" s="248"/>
      <c r="C134" s="248"/>
      <c r="D134" s="248"/>
      <c r="E134" s="248"/>
      <c r="F134" s="248"/>
      <c r="G134" s="248"/>
      <c r="H134" s="251"/>
      <c r="I134" s="251"/>
      <c r="J134" s="1296">
        <v>16</v>
      </c>
      <c r="K134" s="1160" t="s">
        <v>496</v>
      </c>
      <c r="L134" s="1297">
        <f>-(-UCTPHOP_i_COD_NOx-UCTPHOP_Y_NIT)/UCTPHOP_Y_NIT</f>
        <v>-29.476190476190474</v>
      </c>
      <c r="M134" s="1298"/>
      <c r="N134" s="1298"/>
      <c r="O134" s="1297">
        <f>-UCTPHOP_i_NBM-1/UCTPHOP_Y_NIT</f>
        <v>-6.734666666666667</v>
      </c>
      <c r="P134" s="1297">
        <f>1/UCTPHOP_Y_NIT</f>
        <v>6.666666666666667</v>
      </c>
      <c r="Q134" s="1298">
        <f>-UCTPHOP_i_PBM</f>
        <v>-0.021</v>
      </c>
      <c r="R134" s="1298"/>
      <c r="S134" s="1298"/>
      <c r="T134" s="1298"/>
      <c r="U134" s="1298"/>
      <c r="V134" s="1298"/>
      <c r="W134" s="1299"/>
      <c r="X134" s="1299"/>
      <c r="Y134" s="1298"/>
      <c r="Z134" s="1298"/>
      <c r="AA134" s="1299" t="s">
        <v>2467</v>
      </c>
      <c r="AB134" s="1300"/>
      <c r="AC134" s="149"/>
      <c r="AD134" s="1304">
        <f t="shared" si="0"/>
        <v>0</v>
      </c>
      <c r="AE134" s="1305">
        <f t="shared" si="0"/>
        <v>3.885780586188048E-16</v>
      </c>
      <c r="AF134" s="1306">
        <f t="shared" si="0"/>
        <v>0</v>
      </c>
      <c r="AG134" s="9"/>
      <c r="AH134" s="9"/>
      <c r="AI134" s="9"/>
      <c r="AJ134" s="248"/>
    </row>
    <row r="135" spans="1:36" ht="14.25">
      <c r="A135" s="248"/>
      <c r="B135" s="248"/>
      <c r="C135" s="248"/>
      <c r="D135" s="248"/>
      <c r="E135" s="248"/>
      <c r="F135" s="248"/>
      <c r="G135" s="248"/>
      <c r="H135" s="251"/>
      <c r="I135" s="251"/>
      <c r="J135" s="1296">
        <v>17</v>
      </c>
      <c r="K135" s="1160" t="s">
        <v>501</v>
      </c>
      <c r="L135" s="1297"/>
      <c r="M135" s="1298"/>
      <c r="N135" s="1298"/>
      <c r="O135" s="1297">
        <f>UCTPHOP_i_NBM-(1-UCTPHOP_f_XE.NIT)*UCTPHOP_i_NENM-UCTPHOP_f_XE.NIT*UCTPHOP_i_NXE</f>
        <v>0.01656</v>
      </c>
      <c r="P135" s="1297"/>
      <c r="Q135" s="1298">
        <f>UCTPHOP_i_PBM-UCTPHOP_f_XE.NIT*UCTPHOP_i_PXE-(1-UCTPHOP_f_XE.NIT)*UCTPHOP_i_PENM</f>
        <v>0.01932</v>
      </c>
      <c r="R135" s="1298"/>
      <c r="S135" s="1298">
        <f>UCTPHOP_f_XE.NIT</f>
        <v>0.08</v>
      </c>
      <c r="T135" s="1298"/>
      <c r="U135" s="1298"/>
      <c r="V135" s="1298">
        <f>1-UCTPHOP_f_XE.NIT</f>
        <v>0.92</v>
      </c>
      <c r="W135" s="1299"/>
      <c r="X135" s="1299"/>
      <c r="Y135" s="1298"/>
      <c r="Z135" s="1298"/>
      <c r="AA135" s="1299">
        <v>-1</v>
      </c>
      <c r="AB135" s="1300"/>
      <c r="AC135" s="149"/>
      <c r="AD135" s="1304">
        <f t="shared" si="0"/>
        <v>0</v>
      </c>
      <c r="AE135" s="1305">
        <f t="shared" si="0"/>
        <v>0</v>
      </c>
      <c r="AF135" s="1306">
        <f t="shared" si="0"/>
        <v>0</v>
      </c>
      <c r="AG135" s="9"/>
      <c r="AH135" s="9"/>
      <c r="AI135" s="9"/>
      <c r="AJ135" s="248"/>
    </row>
    <row r="136" spans="1:36" ht="14.25">
      <c r="A136" s="248"/>
      <c r="B136" s="248"/>
      <c r="C136" s="248"/>
      <c r="D136" s="248"/>
      <c r="E136" s="248"/>
      <c r="F136" s="248"/>
      <c r="G136" s="248"/>
      <c r="H136" s="251"/>
      <c r="I136" s="251"/>
      <c r="J136" s="1296">
        <v>18</v>
      </c>
      <c r="K136" s="1160" t="s">
        <v>506</v>
      </c>
      <c r="L136" s="1297">
        <f>-(1-UCTPHOP_Y_PAO1)/UCTPHOP_Y_PAO1</f>
        <v>-0.5015015015015014</v>
      </c>
      <c r="M136" s="1298"/>
      <c r="N136" s="1298"/>
      <c r="O136" s="1298">
        <f>-UCTPHOP_i_NBM</f>
        <v>-0.068</v>
      </c>
      <c r="P136" s="1298"/>
      <c r="Q136" s="1297">
        <f>-UCTPHOP_Y_PP1/UCTPHOP_Y_PAO1-UCTPHOP_i_PBM</f>
        <v>-1.147126126126126</v>
      </c>
      <c r="R136" s="1298"/>
      <c r="S136" s="1298"/>
      <c r="T136" s="1298"/>
      <c r="U136" s="1298"/>
      <c r="V136" s="1298"/>
      <c r="W136" s="1299"/>
      <c r="X136" s="1299">
        <v>1</v>
      </c>
      <c r="Y136" s="1297">
        <f>UCTPHOP_Y_PP1/UCTPHOP_Y_PAO1</f>
        <v>1.1261261261261262</v>
      </c>
      <c r="Z136" s="1297">
        <f>-1/UCTPHOP_Y_PAO1</f>
        <v>-1.5015015015015014</v>
      </c>
      <c r="AA136" s="1299"/>
      <c r="AB136" s="1307"/>
      <c r="AC136" s="149"/>
      <c r="AD136" s="1304">
        <f t="shared" si="0"/>
        <v>0</v>
      </c>
      <c r="AE136" s="1305">
        <f t="shared" si="0"/>
        <v>0</v>
      </c>
      <c r="AF136" s="1306">
        <f t="shared" si="0"/>
        <v>0</v>
      </c>
      <c r="AG136" s="9"/>
      <c r="AH136" s="9"/>
      <c r="AI136" s="9"/>
      <c r="AJ136" s="248"/>
    </row>
    <row r="137" spans="1:36" ht="14.25">
      <c r="A137" s="248"/>
      <c r="B137" s="248"/>
      <c r="C137" s="248"/>
      <c r="D137" s="248"/>
      <c r="E137" s="248"/>
      <c r="F137" s="248"/>
      <c r="G137" s="248"/>
      <c r="H137" s="251"/>
      <c r="I137" s="251"/>
      <c r="J137" s="1296">
        <v>19</v>
      </c>
      <c r="K137" s="1160" t="s">
        <v>513</v>
      </c>
      <c r="L137" s="1297">
        <f>-(1-UCTPHOP_Y_PAO1)/UCTPHOP_Y_PAO1-UCTPHOP_i_COD_NOx*UCTPHOP_i_NBM</f>
        <v>-0.19064435864435852</v>
      </c>
      <c r="M137" s="1298"/>
      <c r="N137" s="1298"/>
      <c r="O137" s="1298"/>
      <c r="P137" s="1298">
        <f>-UCTPHOP_i_NBM</f>
        <v>-0.068</v>
      </c>
      <c r="Q137" s="1297">
        <f>-UCTPHOP_Y_PP1/UCTPHOP_Y_PAO1-UCTPHOP_i_PBM</f>
        <v>-1.147126126126126</v>
      </c>
      <c r="R137" s="1298"/>
      <c r="S137" s="1298"/>
      <c r="T137" s="1298"/>
      <c r="U137" s="1298"/>
      <c r="V137" s="1298"/>
      <c r="W137" s="1298"/>
      <c r="X137" s="1298" t="s">
        <v>2467</v>
      </c>
      <c r="Y137" s="1297">
        <f>UCTPHOP_Y_PP1/UCTPHOP_Y_PAO1</f>
        <v>1.1261261261261262</v>
      </c>
      <c r="Z137" s="1297">
        <f>-1/UCTPHOP_Y_PAO1</f>
        <v>-1.5015015015015014</v>
      </c>
      <c r="AA137" s="1298"/>
      <c r="AB137" s="1307"/>
      <c r="AC137" s="149"/>
      <c r="AD137" s="1304">
        <f t="shared" si="0"/>
        <v>0</v>
      </c>
      <c r="AE137" s="1305">
        <f t="shared" si="0"/>
        <v>0</v>
      </c>
      <c r="AF137" s="1306">
        <f t="shared" si="0"/>
        <v>0</v>
      </c>
      <c r="AG137" s="9"/>
      <c r="AH137" s="9"/>
      <c r="AI137" s="9"/>
      <c r="AJ137" s="248"/>
    </row>
    <row r="138" spans="1:36" ht="14.25">
      <c r="A138" s="248"/>
      <c r="B138" s="248"/>
      <c r="C138" s="248"/>
      <c r="D138" s="248"/>
      <c r="E138" s="248"/>
      <c r="F138" s="248"/>
      <c r="G138" s="248"/>
      <c r="H138" s="251"/>
      <c r="I138" s="251"/>
      <c r="J138" s="1296">
        <v>20</v>
      </c>
      <c r="K138" s="1160" t="s">
        <v>517</v>
      </c>
      <c r="L138" s="1297">
        <f>-(1-UCTPHOP_Y_PAO1)/UCTPHOP_Y_PAO1</f>
        <v>-0.5015015015015014</v>
      </c>
      <c r="M138" s="1298"/>
      <c r="N138" s="1298"/>
      <c r="O138" s="1298">
        <f>-UCTPHOP_i_NBM</f>
        <v>-0.068</v>
      </c>
      <c r="P138" s="1298"/>
      <c r="Q138" s="1298"/>
      <c r="R138" s="1298"/>
      <c r="S138" s="1298"/>
      <c r="T138" s="1298"/>
      <c r="U138" s="1298"/>
      <c r="V138" s="1298"/>
      <c r="W138" s="1298"/>
      <c r="X138" s="1298" t="s">
        <v>2467</v>
      </c>
      <c r="Y138" s="1298">
        <f>-UCTPHOP_i_PBM</f>
        <v>-0.021</v>
      </c>
      <c r="Z138" s="1297">
        <f>-1/UCTPHOP_Y_PAO1</f>
        <v>-1.5015015015015014</v>
      </c>
      <c r="AA138" s="1298"/>
      <c r="AB138" s="1307"/>
      <c r="AC138" s="149"/>
      <c r="AD138" s="1304">
        <f t="shared" si="0"/>
        <v>0</v>
      </c>
      <c r="AE138" s="1305">
        <f t="shared" si="0"/>
        <v>0</v>
      </c>
      <c r="AF138" s="1306">
        <f t="shared" si="0"/>
        <v>0</v>
      </c>
      <c r="AG138" s="9"/>
      <c r="AH138" s="9"/>
      <c r="AI138" s="9"/>
      <c r="AJ138" s="248"/>
    </row>
    <row r="139" spans="1:36" ht="14.25">
      <c r="A139" s="248"/>
      <c r="B139" s="248"/>
      <c r="C139" s="248"/>
      <c r="D139" s="248"/>
      <c r="E139" s="248"/>
      <c r="F139" s="248"/>
      <c r="G139" s="248"/>
      <c r="H139" s="251"/>
      <c r="I139" s="251"/>
      <c r="J139" s="1296">
        <v>21</v>
      </c>
      <c r="K139" s="1160" t="s">
        <v>519</v>
      </c>
      <c r="L139" s="1297">
        <f>-(1-UCTPHOP_Y_PAO1)/UCTPHOP_Y_PAO1-UCTPHOP_i_COD_NOx*UCTPHOP_i_NBM</f>
        <v>-0.19064435864435852</v>
      </c>
      <c r="M139" s="1298"/>
      <c r="N139" s="1298"/>
      <c r="O139" s="1298"/>
      <c r="P139" s="1298">
        <f>-UCTPHOP_i_NBM</f>
        <v>-0.068</v>
      </c>
      <c r="Q139" s="1298"/>
      <c r="R139" s="1298"/>
      <c r="S139" s="1298"/>
      <c r="T139" s="1298"/>
      <c r="U139" s="1298"/>
      <c r="V139" s="1298"/>
      <c r="W139" s="1298"/>
      <c r="X139" s="1298" t="s">
        <v>2467</v>
      </c>
      <c r="Y139" s="1298">
        <f>-UCTPHOP_i_PBM</f>
        <v>-0.021</v>
      </c>
      <c r="Z139" s="1297">
        <f>-1/UCTPHOP_Y_PAO1</f>
        <v>-1.5015015015015014</v>
      </c>
      <c r="AA139" s="1298"/>
      <c r="AB139" s="1307"/>
      <c r="AC139" s="149"/>
      <c r="AD139" s="1304">
        <f aca="true" t="shared" si="1" ref="AD139:AF153">$L139*AD$101+$M139*AD$102+$N139*AD$103+$O139*AD$104+$P139*AD$105+$Q139*AD$106+$R139*AD$107+$S139*AD$108+$T139*AD$109+$U139*AD$110+$V139*AD$111+$W139*AD$112+$X139*AD$113+$Y139*AD$114+$Z139*AD$115+$AA139*AD$116+$AB139*AD$117</f>
        <v>0</v>
      </c>
      <c r="AE139" s="1305">
        <f t="shared" si="1"/>
        <v>0</v>
      </c>
      <c r="AF139" s="1306">
        <f t="shared" si="1"/>
        <v>0</v>
      </c>
      <c r="AG139" s="9"/>
      <c r="AH139" s="9"/>
      <c r="AI139" s="9"/>
      <c r="AJ139" s="248"/>
    </row>
    <row r="140" spans="1:36" ht="14.25">
      <c r="A140" s="248"/>
      <c r="B140" s="248"/>
      <c r="C140" s="248"/>
      <c r="D140" s="248"/>
      <c r="E140" s="248"/>
      <c r="F140" s="248"/>
      <c r="G140" s="248"/>
      <c r="H140" s="251"/>
      <c r="I140" s="251"/>
      <c r="J140" s="1296">
        <v>22</v>
      </c>
      <c r="K140" s="1160" t="s">
        <v>521</v>
      </c>
      <c r="L140" s="1298"/>
      <c r="M140" s="1298"/>
      <c r="N140" s="1298"/>
      <c r="O140" s="1298">
        <f>-UCTPHOP_i_NBM</f>
        <v>-0.068</v>
      </c>
      <c r="P140" s="1297">
        <f>-(1-UCTPHOP_Y_PAO2)/(UCTPHOP_i_NOx.N2*UCTPHOP_Y_PAO2)</f>
        <v>-0.2981481481481481</v>
      </c>
      <c r="Q140" s="1297">
        <f>-UCTPHOP_Y_PP2/UCTPHOP_Y_PAO2-UCTPHOP_i_PBM</f>
        <v>-1.1506296296296294</v>
      </c>
      <c r="R140" s="1298"/>
      <c r="S140" s="1298"/>
      <c r="T140" s="1298"/>
      <c r="U140" s="1298"/>
      <c r="V140" s="1298"/>
      <c r="W140" s="1298"/>
      <c r="X140" s="1298" t="s">
        <v>2467</v>
      </c>
      <c r="Y140" s="1297">
        <f>UCTPHOP_Y_PP2/UCTPHOP_Y_PAO2</f>
        <v>1.1296296296296295</v>
      </c>
      <c r="Z140" s="1297">
        <f>-1/UCTPHOP_Y_PAO2</f>
        <v>-1.8518518518518516</v>
      </c>
      <c r="AA140" s="1298"/>
      <c r="AB140" s="1307">
        <f>(1-UCTPHOP_Y_PAO2)/(UCTPHOP_i_NOx.N2*UCTPHOP_Y_PAO2)</f>
        <v>0.2981481481481481</v>
      </c>
      <c r="AC140" s="149"/>
      <c r="AD140" s="1304">
        <f t="shared" si="1"/>
        <v>0</v>
      </c>
      <c r="AE140" s="1305">
        <f t="shared" si="1"/>
        <v>0</v>
      </c>
      <c r="AF140" s="1306">
        <f t="shared" si="1"/>
        <v>0</v>
      </c>
      <c r="AG140" s="9"/>
      <c r="AH140" s="9"/>
      <c r="AI140" s="9"/>
      <c r="AJ140" s="248"/>
    </row>
    <row r="141" spans="1:36" ht="14.25">
      <c r="A141" s="248"/>
      <c r="B141" s="248"/>
      <c r="C141" s="248"/>
      <c r="D141" s="248"/>
      <c r="E141" s="248"/>
      <c r="F141" s="248"/>
      <c r="G141" s="248"/>
      <c r="H141" s="251"/>
      <c r="I141" s="251"/>
      <c r="J141" s="1296">
        <v>23</v>
      </c>
      <c r="K141" s="1160" t="s">
        <v>528</v>
      </c>
      <c r="L141" s="1298"/>
      <c r="M141" s="1298"/>
      <c r="N141" s="1298"/>
      <c r="O141" s="1298"/>
      <c r="P141" s="1297">
        <f>-(1-UCTPHOP_Y_PAO2)/(UCTPHOP_i_NOx.N2*UCTPHOP_Y_PAO2)-UCTPHOP_i_NBM</f>
        <v>-0.3661481481481481</v>
      </c>
      <c r="Q141" s="1297">
        <f>-UCTPHOP_Y_PP2/UCTPHOP_Y_PAO2-UCTPHOP_i_PBM</f>
        <v>-1.1506296296296294</v>
      </c>
      <c r="R141" s="1298"/>
      <c r="S141" s="1298"/>
      <c r="T141" s="1298"/>
      <c r="U141" s="1298"/>
      <c r="V141" s="1298"/>
      <c r="W141" s="1298"/>
      <c r="X141" s="1298" t="s">
        <v>2467</v>
      </c>
      <c r="Y141" s="1297">
        <f>UCTPHOP_Y_PP2/UCTPHOP_Y_PAO2</f>
        <v>1.1296296296296295</v>
      </c>
      <c r="Z141" s="1297">
        <f>-1/UCTPHOP_Y_PAO2+UCTPHOP_i_COD_NOx*UCTPHOP_i_NBM</f>
        <v>-2.1627089947089946</v>
      </c>
      <c r="AA141" s="1298"/>
      <c r="AB141" s="1307">
        <f>(1-UCTPHOP_Y_PAO2)/(UCTPHOP_i_NOx.N2*UCTPHOP_Y_PAO2)</f>
        <v>0.2981481481481481</v>
      </c>
      <c r="AC141" s="149"/>
      <c r="AD141" s="1304">
        <f t="shared" si="1"/>
        <v>0</v>
      </c>
      <c r="AE141" s="1305">
        <f t="shared" si="1"/>
        <v>0</v>
      </c>
      <c r="AF141" s="1306">
        <f t="shared" si="1"/>
        <v>0</v>
      </c>
      <c r="AG141" s="9"/>
      <c r="AH141" s="9"/>
      <c r="AI141" s="9"/>
      <c r="AJ141" s="248"/>
    </row>
    <row r="142" spans="1:36" ht="14.25">
      <c r="A142" s="248"/>
      <c r="B142" s="248"/>
      <c r="C142" s="248"/>
      <c r="D142" s="248"/>
      <c r="E142" s="248"/>
      <c r="F142" s="248"/>
      <c r="G142" s="248"/>
      <c r="H142" s="251"/>
      <c r="I142" s="251"/>
      <c r="J142" s="1296">
        <v>24</v>
      </c>
      <c r="K142" s="1160" t="s">
        <v>349</v>
      </c>
      <c r="L142" s="1298">
        <f>-(1-UCTPHOP_f_XE.PAO-UCTPHOP_f_SI.PAO)</f>
        <v>-0.55</v>
      </c>
      <c r="M142" s="1298"/>
      <c r="N142" s="1298"/>
      <c r="O142" s="1298">
        <f>UCTPHOP_i_NBM-UCTPHOP_f_XE.PAO*UCTPHOP_i_NXE-UCTPHOP_f_SI.PAO*UCTPHOP_i_NSI</f>
        <v>0.044000000000000004</v>
      </c>
      <c r="P142" s="1297"/>
      <c r="Q142" s="1297">
        <f>UCTPHOP_i_PBM-UCTPHOP_f_XE.PAO*UCTPHOP_i_PXE-UCTPHOP_f_SI.PAO*UCTPHOP_i_PSI</f>
        <v>0.01575</v>
      </c>
      <c r="R142" s="1298">
        <f>UCTPHOP_f_SI.PAO</f>
        <v>0.2</v>
      </c>
      <c r="S142" s="1298">
        <f>UCTPHOP_f_XE.PAO</f>
        <v>0.25</v>
      </c>
      <c r="T142" s="1298"/>
      <c r="U142" s="1298"/>
      <c r="V142" s="1298"/>
      <c r="W142" s="1298"/>
      <c r="X142" s="1298" t="s">
        <v>2488</v>
      </c>
      <c r="Y142" s="1297"/>
      <c r="Z142" s="1297"/>
      <c r="AA142" s="1298"/>
      <c r="AB142" s="1307"/>
      <c r="AC142" s="149"/>
      <c r="AD142" s="1304">
        <f t="shared" si="1"/>
        <v>0</v>
      </c>
      <c r="AE142" s="1305">
        <f t="shared" si="1"/>
        <v>0</v>
      </c>
      <c r="AF142" s="1306">
        <f t="shared" si="1"/>
        <v>0</v>
      </c>
      <c r="AG142" s="9"/>
      <c r="AH142" s="9"/>
      <c r="AI142" s="9"/>
      <c r="AJ142" s="248"/>
    </row>
    <row r="143" spans="1:36" ht="14.25">
      <c r="A143" s="248"/>
      <c r="B143" s="248"/>
      <c r="C143" s="248"/>
      <c r="D143" s="248"/>
      <c r="E143" s="248"/>
      <c r="F143" s="248"/>
      <c r="G143" s="248"/>
      <c r="H143" s="251"/>
      <c r="I143" s="251"/>
      <c r="J143" s="1296">
        <v>25</v>
      </c>
      <c r="K143" s="1160" t="s">
        <v>537</v>
      </c>
      <c r="L143" s="1298"/>
      <c r="M143" s="1298"/>
      <c r="N143" s="1298"/>
      <c r="O143" s="1308"/>
      <c r="P143" s="1297"/>
      <c r="Q143" s="1298" t="s">
        <v>2467</v>
      </c>
      <c r="R143" s="1298"/>
      <c r="S143" s="1298"/>
      <c r="T143" s="1298"/>
      <c r="U143" s="1298"/>
      <c r="V143" s="1298"/>
      <c r="W143" s="1298"/>
      <c r="X143" s="1298"/>
      <c r="Y143" s="1298" t="s">
        <v>2488</v>
      </c>
      <c r="Z143" s="1298"/>
      <c r="AA143" s="1298"/>
      <c r="AB143" s="1300"/>
      <c r="AC143" s="149"/>
      <c r="AD143" s="1304">
        <f t="shared" si="1"/>
        <v>0</v>
      </c>
      <c r="AE143" s="1305">
        <f t="shared" si="1"/>
        <v>0</v>
      </c>
      <c r="AF143" s="1306">
        <f t="shared" si="1"/>
        <v>0</v>
      </c>
      <c r="AG143" s="9"/>
      <c r="AH143" s="9"/>
      <c r="AI143" s="9"/>
      <c r="AJ143" s="248"/>
    </row>
    <row r="144" spans="1:36" ht="14.25">
      <c r="A144" s="248"/>
      <c r="B144" s="248"/>
      <c r="C144" s="248"/>
      <c r="D144" s="248"/>
      <c r="E144" s="248"/>
      <c r="F144" s="248"/>
      <c r="G144" s="248"/>
      <c r="H144" s="251"/>
      <c r="I144" s="251"/>
      <c r="J144" s="1296">
        <v>26</v>
      </c>
      <c r="K144" s="1160" t="s">
        <v>540</v>
      </c>
      <c r="L144" s="1298"/>
      <c r="M144" s="1298"/>
      <c r="N144" s="1298"/>
      <c r="O144" s="1298">
        <f>-UCTPHOP_i_NENM</f>
        <v>-0.05</v>
      </c>
      <c r="P144" s="1298"/>
      <c r="Q144" s="1298">
        <f>-UCTPHOP_i_PENM</f>
        <v>0</v>
      </c>
      <c r="R144" s="1298"/>
      <c r="S144" s="1298"/>
      <c r="T144" s="1298"/>
      <c r="U144" s="1298"/>
      <c r="V144" s="1298">
        <v>1</v>
      </c>
      <c r="W144" s="1298"/>
      <c r="X144" s="1298"/>
      <c r="Y144" s="1298"/>
      <c r="Z144" s="1298" t="s">
        <v>2488</v>
      </c>
      <c r="AA144" s="1298"/>
      <c r="AB144" s="1300"/>
      <c r="AC144" s="149"/>
      <c r="AD144" s="1304">
        <f t="shared" si="1"/>
        <v>0</v>
      </c>
      <c r="AE144" s="1305">
        <f t="shared" si="1"/>
        <v>0</v>
      </c>
      <c r="AF144" s="1306">
        <f t="shared" si="1"/>
        <v>0</v>
      </c>
      <c r="AG144" s="9"/>
      <c r="AH144" s="9"/>
      <c r="AI144" s="9"/>
      <c r="AJ144" s="248"/>
    </row>
    <row r="145" spans="1:36" ht="14.25">
      <c r="A145" s="248"/>
      <c r="B145" s="248"/>
      <c r="C145" s="248"/>
      <c r="D145" s="248"/>
      <c r="E145" s="248"/>
      <c r="F145" s="248"/>
      <c r="G145" s="248"/>
      <c r="H145" s="251"/>
      <c r="I145" s="251"/>
      <c r="J145" s="1296">
        <v>27</v>
      </c>
      <c r="K145" s="1160" t="s">
        <v>361</v>
      </c>
      <c r="L145" s="1298"/>
      <c r="M145" s="1298"/>
      <c r="N145" s="1298"/>
      <c r="O145" s="1298">
        <f>UCTPHOP_i_NBM-UCTPHOP_f_XE.PAO*UCTPHOP_i_NXE-UCTPHOP_f_SI.PAO*UCTPHOP_i_NSI-UCTPHOP_i_NENM*(1-UCTPHOP_Eta_PAO)*(1-UCTPHOP_f_XE.PAO-UCTPHOP_f_SI.PAO)</f>
        <v>0.026125000000000002</v>
      </c>
      <c r="P145" s="1298">
        <f>-UCTPHOP_Eta_PAO*(1-UCTPHOP_f_XE.PAO-UCTPHOP_f_SI.PAO)/UCTPHOP_i_NOx.N2</f>
        <v>-0.067375</v>
      </c>
      <c r="Q145" s="1298">
        <f>UCTPHOP_i_PBM-UCTPHOP_f_XE.PAO*UCTPHOP_i_PXE-UCTPHOP_f_SI.PAO*UCTPHOP_i_PSI-(1-UCTPHOP_Eta_PAO)*(1-UCTPHOP_f_XE.PAO-UCTPHOP_f_SI.PAO)*UCTPHOP_i_PENM</f>
        <v>0.01575</v>
      </c>
      <c r="R145" s="1298">
        <f>UCTPHOP_f_SI.PAO</f>
        <v>0.2</v>
      </c>
      <c r="S145" s="1298">
        <f>UCTPHOP_f_XE.PAO</f>
        <v>0.25</v>
      </c>
      <c r="T145" s="1298"/>
      <c r="U145" s="1298"/>
      <c r="V145" s="1298">
        <f>(1-UCTPHOP_Eta_PAO)*(1-UCTPHOP_f_XE.PAO-UCTPHOP_f_SI.PAO)</f>
        <v>0.35750000000000004</v>
      </c>
      <c r="W145" s="1298"/>
      <c r="X145" s="1298" t="s">
        <v>2488</v>
      </c>
      <c r="Y145" s="1298"/>
      <c r="Z145" s="1298"/>
      <c r="AA145" s="1298"/>
      <c r="AB145" s="1300">
        <f>UCTPHOP_Eta_PAO*(1-UCTPHOP_f_XE.PAO-UCTPHOP_f_SI.PAO)/UCTPHOP_i_NOx.N2</f>
        <v>0.067375</v>
      </c>
      <c r="AC145" s="149"/>
      <c r="AD145" s="1304">
        <f t="shared" si="1"/>
        <v>0</v>
      </c>
      <c r="AE145" s="1305">
        <f t="shared" si="1"/>
        <v>0</v>
      </c>
      <c r="AF145" s="1306">
        <f t="shared" si="1"/>
        <v>0</v>
      </c>
      <c r="AG145" s="9"/>
      <c r="AH145" s="9"/>
      <c r="AI145" s="9"/>
      <c r="AJ145" s="248"/>
    </row>
    <row r="146" spans="1:36" ht="14.25">
      <c r="A146" s="248"/>
      <c r="B146" s="248"/>
      <c r="C146" s="248"/>
      <c r="D146" s="248"/>
      <c r="E146" s="248"/>
      <c r="F146" s="248"/>
      <c r="G146" s="248"/>
      <c r="H146" s="251"/>
      <c r="I146" s="251"/>
      <c r="J146" s="1296">
        <v>28</v>
      </c>
      <c r="K146" s="1160" t="s">
        <v>551</v>
      </c>
      <c r="L146" s="1298"/>
      <c r="M146" s="1298"/>
      <c r="N146" s="1298"/>
      <c r="O146" s="1298"/>
      <c r="P146" s="1298"/>
      <c r="Q146" s="1298" t="s">
        <v>2467</v>
      </c>
      <c r="R146" s="1298"/>
      <c r="S146" s="1298"/>
      <c r="T146" s="1298"/>
      <c r="U146" s="1298"/>
      <c r="V146" s="1298"/>
      <c r="W146" s="1298"/>
      <c r="X146" s="1298"/>
      <c r="Y146" s="1298" t="s">
        <v>2488</v>
      </c>
      <c r="Z146" s="1298"/>
      <c r="AA146" s="1298"/>
      <c r="AB146" s="1300"/>
      <c r="AC146" s="149"/>
      <c r="AD146" s="1304">
        <f t="shared" si="1"/>
        <v>0</v>
      </c>
      <c r="AE146" s="1305">
        <f t="shared" si="1"/>
        <v>0</v>
      </c>
      <c r="AF146" s="1306">
        <f t="shared" si="1"/>
        <v>0</v>
      </c>
      <c r="AG146" s="9"/>
      <c r="AH146" s="9"/>
      <c r="AI146" s="9"/>
      <c r="AJ146" s="248"/>
    </row>
    <row r="147" spans="1:36" ht="14.25">
      <c r="A147" s="248"/>
      <c r="B147" s="248"/>
      <c r="C147" s="248"/>
      <c r="D147" s="248"/>
      <c r="E147" s="248"/>
      <c r="F147" s="248"/>
      <c r="G147" s="248"/>
      <c r="H147" s="251"/>
      <c r="I147" s="251"/>
      <c r="J147" s="1296">
        <v>29</v>
      </c>
      <c r="K147" s="1160" t="s">
        <v>553</v>
      </c>
      <c r="L147" s="1298"/>
      <c r="M147" s="1298"/>
      <c r="N147" s="1298"/>
      <c r="O147" s="1298">
        <f>-UCTPHOP_i_NENM</f>
        <v>-0.05</v>
      </c>
      <c r="P147" s="1298"/>
      <c r="Q147" s="1298">
        <f>-UCTPHOP_i_PENM</f>
        <v>0</v>
      </c>
      <c r="R147" s="1298"/>
      <c r="S147" s="1298"/>
      <c r="T147" s="1298"/>
      <c r="U147" s="1298"/>
      <c r="V147" s="1298">
        <v>1</v>
      </c>
      <c r="W147" s="1298"/>
      <c r="X147" s="1298"/>
      <c r="Y147" s="1298"/>
      <c r="Z147" s="1298" t="s">
        <v>2488</v>
      </c>
      <c r="AA147" s="1298"/>
      <c r="AB147" s="1300"/>
      <c r="AC147" s="149"/>
      <c r="AD147" s="1304">
        <f t="shared" si="1"/>
        <v>0</v>
      </c>
      <c r="AE147" s="1305">
        <f t="shared" si="1"/>
        <v>0</v>
      </c>
      <c r="AF147" s="1306">
        <f t="shared" si="1"/>
        <v>0</v>
      </c>
      <c r="AG147" s="9"/>
      <c r="AH147" s="9"/>
      <c r="AI147" s="9"/>
      <c r="AJ147" s="248"/>
    </row>
    <row r="148" spans="1:36" ht="14.25">
      <c r="A148" s="248"/>
      <c r="B148" s="248"/>
      <c r="C148" s="248"/>
      <c r="D148" s="248"/>
      <c r="E148" s="248"/>
      <c r="F148" s="248"/>
      <c r="G148" s="248"/>
      <c r="H148" s="251"/>
      <c r="I148" s="251"/>
      <c r="J148" s="1296">
        <v>30</v>
      </c>
      <c r="K148" s="1160" t="s">
        <v>372</v>
      </c>
      <c r="L148" s="1298"/>
      <c r="M148" s="1298"/>
      <c r="N148" s="1298"/>
      <c r="O148" s="1298">
        <f>UCTPHOP_i_NBM-UCTPHOP_f_XE.PAO*UCTPHOP_i_NXE-UCTPHOP_f_SI.PAO*UCTPHOP_i_NSI-UCTPHOP_i_NENM*(1-UCTPHOP_f_XE.PAO-UCTPHOP_f_SI.PAO)</f>
        <v>0.0165</v>
      </c>
      <c r="P148" s="1298"/>
      <c r="Q148" s="1298">
        <f>UCTPHOP_i_PBM-UCTPHOP_f_XE.PAO*UCTPHOP_i_PXE-UCTPHOP_f_SI.PAO*UCTPHOP_i_PSI-(1-UCTPHOP_f_XE.PAO-UCTPHOP_f_SI.PAO)*UCTPHOP_i_PENM</f>
        <v>0.01575</v>
      </c>
      <c r="R148" s="1298">
        <f>UCTPHOP_f_SI.PAO</f>
        <v>0.2</v>
      </c>
      <c r="S148" s="1298">
        <f>UCTPHOP_f_XE.PAO</f>
        <v>0.25</v>
      </c>
      <c r="T148" s="1298"/>
      <c r="U148" s="1298"/>
      <c r="V148" s="1298">
        <f>1-UCTPHOP_f_XE.PAO-UCTPHOP_f_SI.PAO</f>
        <v>0.55</v>
      </c>
      <c r="W148" s="1298"/>
      <c r="X148" s="1298" t="s">
        <v>2488</v>
      </c>
      <c r="Y148" s="1298"/>
      <c r="Z148" s="1298"/>
      <c r="AA148" s="1298"/>
      <c r="AB148" s="1300"/>
      <c r="AC148" s="149"/>
      <c r="AD148" s="1304">
        <f t="shared" si="1"/>
        <v>0</v>
      </c>
      <c r="AE148" s="1305">
        <f t="shared" si="1"/>
        <v>0</v>
      </c>
      <c r="AF148" s="1306">
        <f t="shared" si="1"/>
        <v>0</v>
      </c>
      <c r="AG148" s="9"/>
      <c r="AH148" s="9"/>
      <c r="AI148" s="9"/>
      <c r="AJ148" s="248"/>
    </row>
    <row r="149" spans="1:36" ht="14.25">
      <c r="A149" s="248"/>
      <c r="B149" s="248"/>
      <c r="C149" s="248"/>
      <c r="D149" s="248"/>
      <c r="E149" s="248"/>
      <c r="F149" s="248"/>
      <c r="G149" s="248"/>
      <c r="H149" s="251"/>
      <c r="I149" s="251"/>
      <c r="J149" s="1296">
        <v>31</v>
      </c>
      <c r="K149" s="1160" t="s">
        <v>559</v>
      </c>
      <c r="L149" s="1298"/>
      <c r="M149" s="1298"/>
      <c r="N149" s="1298"/>
      <c r="O149" s="1298"/>
      <c r="P149" s="1298"/>
      <c r="Q149" s="1298" t="s">
        <v>2467</v>
      </c>
      <c r="R149" s="1298"/>
      <c r="S149" s="1298"/>
      <c r="T149" s="1298"/>
      <c r="U149" s="1298"/>
      <c r="V149" s="1298"/>
      <c r="W149" s="1298"/>
      <c r="X149" s="1298"/>
      <c r="Y149" s="1298" t="s">
        <v>2488</v>
      </c>
      <c r="Z149" s="1298"/>
      <c r="AA149" s="1298"/>
      <c r="AB149" s="1300"/>
      <c r="AC149" s="149"/>
      <c r="AD149" s="1304">
        <f t="shared" si="1"/>
        <v>0</v>
      </c>
      <c r="AE149" s="1305">
        <f t="shared" si="1"/>
        <v>0</v>
      </c>
      <c r="AF149" s="1306">
        <f t="shared" si="1"/>
        <v>0</v>
      </c>
      <c r="AG149" s="9"/>
      <c r="AH149" s="9"/>
      <c r="AI149" s="9"/>
      <c r="AJ149" s="248"/>
    </row>
    <row r="150" spans="1:36" ht="14.25">
      <c r="A150" s="248"/>
      <c r="B150" s="248"/>
      <c r="C150" s="248"/>
      <c r="D150" s="248"/>
      <c r="E150" s="248"/>
      <c r="F150" s="248"/>
      <c r="G150" s="248"/>
      <c r="H150" s="251"/>
      <c r="I150" s="251"/>
      <c r="J150" s="1296">
        <v>32</v>
      </c>
      <c r="K150" s="1160" t="s">
        <v>561</v>
      </c>
      <c r="L150" s="1298"/>
      <c r="M150" s="1298"/>
      <c r="N150" s="1298"/>
      <c r="O150" s="1298">
        <f>-UCTPHOP_i_NENM</f>
        <v>-0.05</v>
      </c>
      <c r="P150" s="1298"/>
      <c r="Q150" s="1298">
        <f>-UCTPHOP_i_PENM</f>
        <v>0</v>
      </c>
      <c r="R150" s="1298"/>
      <c r="S150" s="1298"/>
      <c r="T150" s="1298"/>
      <c r="U150" s="1298"/>
      <c r="V150" s="1298">
        <v>1</v>
      </c>
      <c r="W150" s="1298"/>
      <c r="X150" s="1298"/>
      <c r="Y150" s="1298"/>
      <c r="Z150" s="1298" t="s">
        <v>2488</v>
      </c>
      <c r="AA150" s="1298"/>
      <c r="AB150" s="1300"/>
      <c r="AC150" s="149"/>
      <c r="AD150" s="1304">
        <f t="shared" si="1"/>
        <v>0</v>
      </c>
      <c r="AE150" s="1305">
        <f t="shared" si="1"/>
        <v>0</v>
      </c>
      <c r="AF150" s="1306">
        <f t="shared" si="1"/>
        <v>0</v>
      </c>
      <c r="AG150" s="9"/>
      <c r="AH150" s="9"/>
      <c r="AI150" s="9"/>
      <c r="AJ150" s="248"/>
    </row>
    <row r="151" spans="1:36" ht="14.25">
      <c r="A151" s="248"/>
      <c r="B151" s="248"/>
      <c r="C151" s="248"/>
      <c r="D151" s="248"/>
      <c r="E151" s="248"/>
      <c r="F151" s="248"/>
      <c r="G151" s="248"/>
      <c r="H151" s="251"/>
      <c r="I151" s="251"/>
      <c r="J151" s="1296">
        <v>33</v>
      </c>
      <c r="K151" s="1160" t="s">
        <v>1740</v>
      </c>
      <c r="L151" s="1298"/>
      <c r="M151" s="1298"/>
      <c r="N151" s="1298"/>
      <c r="O151" s="1298"/>
      <c r="P151" s="1298"/>
      <c r="Q151" s="1298" t="s">
        <v>2467</v>
      </c>
      <c r="R151" s="1298"/>
      <c r="S151" s="1298"/>
      <c r="T151" s="1298"/>
      <c r="U151" s="1298"/>
      <c r="V151" s="1298"/>
      <c r="W151" s="1298"/>
      <c r="X151" s="1298"/>
      <c r="Y151" s="1298" t="s">
        <v>2488</v>
      </c>
      <c r="Z151" s="1298"/>
      <c r="AA151" s="1298"/>
      <c r="AB151" s="1300"/>
      <c r="AC151" s="149"/>
      <c r="AD151" s="1304">
        <f t="shared" si="1"/>
        <v>0</v>
      </c>
      <c r="AE151" s="1305">
        <f t="shared" si="1"/>
        <v>0</v>
      </c>
      <c r="AF151" s="1306">
        <f t="shared" si="1"/>
        <v>0</v>
      </c>
      <c r="AG151" s="9"/>
      <c r="AH151" s="9"/>
      <c r="AI151" s="9"/>
      <c r="AJ151" s="248"/>
    </row>
    <row r="152" spans="1:36" ht="14.25">
      <c r="A152" s="248"/>
      <c r="B152" s="248"/>
      <c r="C152" s="248"/>
      <c r="D152" s="248"/>
      <c r="E152" s="248"/>
      <c r="F152" s="248"/>
      <c r="G152" s="248"/>
      <c r="H152" s="251"/>
      <c r="I152" s="251"/>
      <c r="J152" s="1296">
        <v>34</v>
      </c>
      <c r="K152" s="1160" t="s">
        <v>1741</v>
      </c>
      <c r="L152" s="1298"/>
      <c r="M152" s="1298"/>
      <c r="N152" s="1298"/>
      <c r="O152" s="1298"/>
      <c r="P152" s="1298"/>
      <c r="Q152" s="1298" t="s">
        <v>2467</v>
      </c>
      <c r="R152" s="1298"/>
      <c r="S152" s="1298"/>
      <c r="T152" s="1298"/>
      <c r="U152" s="1298"/>
      <c r="V152" s="1298"/>
      <c r="W152" s="1298"/>
      <c r="X152" s="1298"/>
      <c r="Y152" s="1298" t="s">
        <v>2488</v>
      </c>
      <c r="Z152" s="1298"/>
      <c r="AA152" s="1298"/>
      <c r="AB152" s="1300"/>
      <c r="AC152" s="149"/>
      <c r="AD152" s="1304">
        <f t="shared" si="1"/>
        <v>0</v>
      </c>
      <c r="AE152" s="1305">
        <f t="shared" si="1"/>
        <v>0</v>
      </c>
      <c r="AF152" s="1306">
        <f t="shared" si="1"/>
        <v>0</v>
      </c>
      <c r="AG152" s="9"/>
      <c r="AH152" s="9"/>
      <c r="AI152" s="9"/>
      <c r="AJ152" s="248"/>
    </row>
    <row r="153" spans="1:36" ht="15" thickBot="1">
      <c r="A153" s="248"/>
      <c r="B153" s="248"/>
      <c r="C153" s="248"/>
      <c r="D153" s="248"/>
      <c r="E153" s="248"/>
      <c r="F153" s="248"/>
      <c r="G153" s="248"/>
      <c r="H153" s="251"/>
      <c r="I153" s="251"/>
      <c r="J153" s="1309">
        <v>35</v>
      </c>
      <c r="K153" s="1172" t="s">
        <v>567</v>
      </c>
      <c r="L153" s="1310"/>
      <c r="M153" s="1310" t="s">
        <v>2488</v>
      </c>
      <c r="N153" s="1310"/>
      <c r="O153" s="1310"/>
      <c r="P153" s="1310"/>
      <c r="Q153" s="1310">
        <f>UCTPHOP_Y_PO4</f>
        <v>0.5</v>
      </c>
      <c r="R153" s="1310"/>
      <c r="S153" s="1310"/>
      <c r="T153" s="1310"/>
      <c r="U153" s="1310"/>
      <c r="V153" s="1310"/>
      <c r="W153" s="1310"/>
      <c r="X153" s="1310"/>
      <c r="Y153" s="1310">
        <f>-UCTPHOP_Y_PO4</f>
        <v>-0.5</v>
      </c>
      <c r="Z153" s="1310">
        <v>1</v>
      </c>
      <c r="AA153" s="1310"/>
      <c r="AB153" s="1311"/>
      <c r="AC153" s="149"/>
      <c r="AD153" s="1312">
        <f t="shared" si="1"/>
        <v>0</v>
      </c>
      <c r="AE153" s="1313">
        <f t="shared" si="1"/>
        <v>0</v>
      </c>
      <c r="AF153" s="1314">
        <f t="shared" si="1"/>
        <v>0</v>
      </c>
      <c r="AG153" s="9"/>
      <c r="AH153" s="9"/>
      <c r="AI153" s="9"/>
      <c r="AJ153" s="248"/>
    </row>
    <row r="154" spans="1:36" ht="14.25">
      <c r="A154" s="248"/>
      <c r="B154" s="248"/>
      <c r="C154" s="248"/>
      <c r="D154" s="248"/>
      <c r="E154" s="248"/>
      <c r="F154" s="248"/>
      <c r="G154" s="248"/>
      <c r="H154" s="251"/>
      <c r="I154" s="251"/>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248"/>
    </row>
    <row r="155" spans="1:36" ht="15" thickBot="1">
      <c r="A155" s="248"/>
      <c r="B155" s="248"/>
      <c r="C155" s="248"/>
      <c r="D155" s="248"/>
      <c r="E155" s="248"/>
      <c r="F155" s="248"/>
      <c r="G155" s="248"/>
      <c r="H155" s="251"/>
      <c r="I155" s="251"/>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248"/>
    </row>
    <row r="156" spans="1:36" ht="30.75" thickBot="1">
      <c r="A156" s="248"/>
      <c r="B156" s="248"/>
      <c r="C156" s="248"/>
      <c r="D156" s="248"/>
      <c r="E156" s="248"/>
      <c r="F156" s="248"/>
      <c r="G156" s="248"/>
      <c r="H156" s="251"/>
      <c r="I156" s="251"/>
      <c r="J156" s="1331" t="s">
        <v>2421</v>
      </c>
      <c r="K156" s="1332"/>
      <c r="L156" s="1332"/>
      <c r="M156" s="1332"/>
      <c r="N156" s="1332"/>
      <c r="O156" s="1332"/>
      <c r="P156" s="1332"/>
      <c r="Q156" s="1332"/>
      <c r="R156" s="1332"/>
      <c r="S156" s="1332"/>
      <c r="T156" s="1332"/>
      <c r="U156" s="1332"/>
      <c r="V156" s="1332"/>
      <c r="W156" s="1332"/>
      <c r="X156" s="1332"/>
      <c r="Y156" s="1332"/>
      <c r="Z156" s="1332"/>
      <c r="AA156" s="1332"/>
      <c r="AB156" s="1332"/>
      <c r="AC156" s="1332"/>
      <c r="AD156" s="1332"/>
      <c r="AE156" s="1332"/>
      <c r="AF156" s="1333"/>
      <c r="AG156" s="9"/>
      <c r="AH156" s="9"/>
      <c r="AI156" s="9"/>
      <c r="AJ156" s="248"/>
    </row>
    <row r="157" spans="1:36" ht="14.25">
      <c r="A157" s="248"/>
      <c r="B157" s="248"/>
      <c r="C157" s="248"/>
      <c r="D157" s="248"/>
      <c r="E157" s="248"/>
      <c r="F157" s="248"/>
      <c r="G157" s="248"/>
      <c r="H157" s="251"/>
      <c r="I157" s="251"/>
      <c r="J157" s="8"/>
      <c r="K157" s="8"/>
      <c r="L157" s="8"/>
      <c r="M157" s="8"/>
      <c r="N157" s="8"/>
      <c r="O157" s="8"/>
      <c r="P157" s="8"/>
      <c r="Q157" s="8"/>
      <c r="R157" s="8"/>
      <c r="S157" s="8"/>
      <c r="T157" s="8"/>
      <c r="U157" s="8"/>
      <c r="V157" s="8"/>
      <c r="W157" s="8"/>
      <c r="X157" s="8"/>
      <c r="Y157" s="9"/>
      <c r="Z157" s="9"/>
      <c r="AA157" s="9"/>
      <c r="AB157" s="9"/>
      <c r="AC157" s="9"/>
      <c r="AD157" s="9"/>
      <c r="AE157" s="9"/>
      <c r="AF157" s="9"/>
      <c r="AG157" s="9"/>
      <c r="AH157" s="9"/>
      <c r="AI157" s="9"/>
      <c r="AJ157" s="248"/>
    </row>
    <row r="158" spans="1:36" ht="18.75" thickBot="1">
      <c r="A158" s="248"/>
      <c r="B158" s="248"/>
      <c r="C158" s="248"/>
      <c r="D158" s="248"/>
      <c r="E158" s="248"/>
      <c r="F158" s="248"/>
      <c r="G158" s="248"/>
      <c r="H158" s="251"/>
      <c r="I158" s="251"/>
      <c r="J158" s="8"/>
      <c r="K158" s="8"/>
      <c r="L158" s="8"/>
      <c r="M158" s="1334" t="s">
        <v>2422</v>
      </c>
      <c r="N158" s="1334"/>
      <c r="O158" s="1334"/>
      <c r="P158" s="1334"/>
      <c r="Q158" s="1334"/>
      <c r="R158" s="1334"/>
      <c r="S158" s="1334" t="s">
        <v>2423</v>
      </c>
      <c r="T158" s="1334"/>
      <c r="U158" s="1334"/>
      <c r="V158" s="1334"/>
      <c r="W158" s="1334"/>
      <c r="X158" s="8"/>
      <c r="Y158" s="9"/>
      <c r="Z158" s="9"/>
      <c r="AA158" s="9"/>
      <c r="AB158" s="9"/>
      <c r="AC158" s="9"/>
      <c r="AD158" s="9"/>
      <c r="AE158" s="9"/>
      <c r="AF158" s="9"/>
      <c r="AG158" s="9"/>
      <c r="AH158" s="9"/>
      <c r="AI158" s="9"/>
      <c r="AJ158" s="248"/>
    </row>
    <row r="159" spans="1:36" ht="15" thickBot="1">
      <c r="A159" s="248"/>
      <c r="B159" s="248"/>
      <c r="C159" s="248"/>
      <c r="D159" s="248"/>
      <c r="E159" s="248"/>
      <c r="F159" s="248"/>
      <c r="G159" s="248"/>
      <c r="H159" s="251"/>
      <c r="I159" s="251"/>
      <c r="J159" s="8"/>
      <c r="K159" s="8"/>
      <c r="L159" s="221"/>
      <c r="M159" s="1328" t="s">
        <v>2424</v>
      </c>
      <c r="N159" s="1329"/>
      <c r="O159" s="1329"/>
      <c r="P159" s="1329"/>
      <c r="Q159" s="1329"/>
      <c r="R159" s="1329"/>
      <c r="S159" s="1329" t="s">
        <v>2425</v>
      </c>
      <c r="T159" s="1329"/>
      <c r="U159" s="1329"/>
      <c r="V159" s="1329"/>
      <c r="W159" s="1329"/>
      <c r="X159" s="8"/>
      <c r="Y159" s="9"/>
      <c r="Z159" s="9"/>
      <c r="AA159" s="9"/>
      <c r="AB159" s="9"/>
      <c r="AC159" s="9"/>
      <c r="AD159" s="9"/>
      <c r="AE159" s="9"/>
      <c r="AF159" s="9"/>
      <c r="AG159" s="9"/>
      <c r="AH159" s="9"/>
      <c r="AI159" s="9"/>
      <c r="AJ159" s="248"/>
    </row>
    <row r="160" spans="1:36" ht="15" thickBot="1">
      <c r="A160" s="248"/>
      <c r="B160" s="248"/>
      <c r="C160" s="248"/>
      <c r="D160" s="248"/>
      <c r="E160" s="248"/>
      <c r="F160" s="248"/>
      <c r="G160" s="248"/>
      <c r="H160" s="251"/>
      <c r="I160" s="251"/>
      <c r="J160" s="8"/>
      <c r="K160" s="8"/>
      <c r="L160" s="222"/>
      <c r="M160" s="1328" t="s">
        <v>2426</v>
      </c>
      <c r="N160" s="1329"/>
      <c r="O160" s="1329"/>
      <c r="P160" s="1329"/>
      <c r="Q160" s="1329"/>
      <c r="R160" s="1329"/>
      <c r="S160" s="1329" t="s">
        <v>2427</v>
      </c>
      <c r="T160" s="1329"/>
      <c r="U160" s="1329"/>
      <c r="V160" s="1329"/>
      <c r="W160" s="1329"/>
      <c r="X160" s="8"/>
      <c r="Y160" s="9"/>
      <c r="Z160" s="9"/>
      <c r="AA160" s="9"/>
      <c r="AB160" s="9"/>
      <c r="AC160" s="9"/>
      <c r="AD160" s="9"/>
      <c r="AE160" s="9"/>
      <c r="AF160" s="9"/>
      <c r="AG160" s="9"/>
      <c r="AH160" s="9"/>
      <c r="AI160" s="9"/>
      <c r="AJ160" s="248"/>
    </row>
    <row r="161" spans="1:36" ht="15" thickBot="1">
      <c r="A161" s="248"/>
      <c r="B161" s="248"/>
      <c r="C161" s="248"/>
      <c r="D161" s="248"/>
      <c r="E161" s="248"/>
      <c r="F161" s="248"/>
      <c r="G161" s="248"/>
      <c r="H161" s="251"/>
      <c r="I161" s="251"/>
      <c r="J161" s="8"/>
      <c r="K161" s="8"/>
      <c r="L161" s="223"/>
      <c r="M161" s="1328" t="s">
        <v>2428</v>
      </c>
      <c r="N161" s="1329"/>
      <c r="O161" s="1329"/>
      <c r="P161" s="1329"/>
      <c r="Q161" s="1329"/>
      <c r="R161" s="1329"/>
      <c r="S161" s="1329" t="s">
        <v>2425</v>
      </c>
      <c r="T161" s="1329"/>
      <c r="U161" s="1329"/>
      <c r="V161" s="1329"/>
      <c r="W161" s="1329"/>
      <c r="X161" s="8"/>
      <c r="Y161" s="9"/>
      <c r="Z161" s="9"/>
      <c r="AA161" s="9"/>
      <c r="AB161" s="9"/>
      <c r="AC161" s="9"/>
      <c r="AD161" s="9"/>
      <c r="AE161" s="9"/>
      <c r="AF161" s="9"/>
      <c r="AG161" s="9"/>
      <c r="AH161" s="9"/>
      <c r="AI161" s="9"/>
      <c r="AJ161" s="248"/>
    </row>
    <row r="162" spans="1:36" ht="15" thickBot="1">
      <c r="A162" s="248"/>
      <c r="B162" s="248"/>
      <c r="C162" s="248"/>
      <c r="D162" s="248"/>
      <c r="E162" s="248"/>
      <c r="F162" s="248"/>
      <c r="G162" s="248"/>
      <c r="H162" s="251"/>
      <c r="I162" s="251"/>
      <c r="J162" s="8"/>
      <c r="K162" s="8"/>
      <c r="L162" s="224"/>
      <c r="M162" s="1328" t="s">
        <v>2429</v>
      </c>
      <c r="N162" s="1329"/>
      <c r="O162" s="1329"/>
      <c r="P162" s="1329"/>
      <c r="Q162" s="1329"/>
      <c r="R162" s="1329"/>
      <c r="S162" s="1329" t="s">
        <v>2430</v>
      </c>
      <c r="T162" s="1329"/>
      <c r="U162" s="1329"/>
      <c r="V162" s="1329"/>
      <c r="W162" s="1329"/>
      <c r="X162" s="8"/>
      <c r="Y162" s="9"/>
      <c r="Z162" s="9"/>
      <c r="AA162" s="9"/>
      <c r="AB162" s="9"/>
      <c r="AC162" s="9"/>
      <c r="AD162" s="9"/>
      <c r="AE162" s="9"/>
      <c r="AF162" s="9"/>
      <c r="AG162" s="9"/>
      <c r="AH162" s="9"/>
      <c r="AI162" s="9"/>
      <c r="AJ162" s="248"/>
    </row>
    <row r="163" spans="1:36" ht="15" thickBot="1">
      <c r="A163" s="248"/>
      <c r="B163" s="248"/>
      <c r="C163" s="248"/>
      <c r="D163" s="248"/>
      <c r="E163" s="248"/>
      <c r="F163" s="248"/>
      <c r="G163" s="248"/>
      <c r="H163" s="251"/>
      <c r="I163" s="251"/>
      <c r="J163" s="8"/>
      <c r="K163" s="8"/>
      <c r="L163" s="8"/>
      <c r="M163" s="8"/>
      <c r="N163" s="8"/>
      <c r="O163" s="8"/>
      <c r="P163" s="8"/>
      <c r="Q163" s="8"/>
      <c r="R163" s="8"/>
      <c r="S163" s="8"/>
      <c r="T163" s="8"/>
      <c r="U163" s="8"/>
      <c r="V163" s="8"/>
      <c r="W163" s="8"/>
      <c r="X163" s="8"/>
      <c r="Y163" s="9"/>
      <c r="Z163" s="9"/>
      <c r="AA163" s="9"/>
      <c r="AB163" s="9"/>
      <c r="AC163" s="9"/>
      <c r="AD163" s="9"/>
      <c r="AE163" s="9"/>
      <c r="AF163" s="9"/>
      <c r="AG163" s="9"/>
      <c r="AH163" s="9"/>
      <c r="AI163" s="9"/>
      <c r="AJ163" s="248"/>
    </row>
    <row r="164" spans="1:36" ht="15">
      <c r="A164" s="248"/>
      <c r="B164" s="248"/>
      <c r="C164" s="248"/>
      <c r="D164" s="248"/>
      <c r="E164" s="248"/>
      <c r="F164" s="248"/>
      <c r="G164" s="248"/>
      <c r="H164" s="251"/>
      <c r="I164" s="251"/>
      <c r="J164" s="1315" t="s">
        <v>1606</v>
      </c>
      <c r="K164" s="484"/>
      <c r="L164" s="484" t="s">
        <v>1900</v>
      </c>
      <c r="M164" s="484" t="s">
        <v>1902</v>
      </c>
      <c r="N164" s="484" t="s">
        <v>1901</v>
      </c>
      <c r="O164" s="484" t="s">
        <v>1742</v>
      </c>
      <c r="P164" s="484" t="s">
        <v>1743</v>
      </c>
      <c r="Q164" s="484" t="s">
        <v>1744</v>
      </c>
      <c r="R164" s="484" t="s">
        <v>1907</v>
      </c>
      <c r="S164" s="484" t="s">
        <v>1745</v>
      </c>
      <c r="T164" s="484" t="s">
        <v>1746</v>
      </c>
      <c r="U164" s="484" t="s">
        <v>1747</v>
      </c>
      <c r="V164" s="484" t="s">
        <v>1748</v>
      </c>
      <c r="W164" s="484" t="s">
        <v>1911</v>
      </c>
      <c r="X164" s="484" t="s">
        <v>1912</v>
      </c>
      <c r="Y164" s="484" t="s">
        <v>1913</v>
      </c>
      <c r="Z164" s="484" t="s">
        <v>1914</v>
      </c>
      <c r="AA164" s="484" t="s">
        <v>1749</v>
      </c>
      <c r="AB164" s="485" t="s">
        <v>1905</v>
      </c>
      <c r="AC164" s="9"/>
      <c r="AD164" s="9"/>
      <c r="AE164" s="9"/>
      <c r="AF164" s="9"/>
      <c r="AG164" s="9"/>
      <c r="AH164" s="9"/>
      <c r="AI164" s="9"/>
      <c r="AJ164" s="248"/>
    </row>
    <row r="165" spans="1:36" ht="14.25">
      <c r="A165" s="248"/>
      <c r="B165" s="248"/>
      <c r="C165" s="248"/>
      <c r="D165" s="248"/>
      <c r="E165" s="248"/>
      <c r="F165" s="248"/>
      <c r="G165" s="248"/>
      <c r="H165" s="251"/>
      <c r="I165" s="251"/>
      <c r="J165" s="1316">
        <v>1</v>
      </c>
      <c r="K165" s="1160" t="s">
        <v>441</v>
      </c>
      <c r="L165" s="496"/>
      <c r="M165" s="496"/>
      <c r="N165" s="493"/>
      <c r="O165" s="496"/>
      <c r="P165" s="493"/>
      <c r="Q165" s="496"/>
      <c r="R165" s="493"/>
      <c r="S165" s="493"/>
      <c r="T165" s="493"/>
      <c r="U165" s="493"/>
      <c r="V165" s="493"/>
      <c r="W165" s="492"/>
      <c r="X165" s="493"/>
      <c r="Y165" s="493"/>
      <c r="Z165" s="493"/>
      <c r="AA165" s="493"/>
      <c r="AB165" s="494"/>
      <c r="AC165" s="9"/>
      <c r="AD165" s="9"/>
      <c r="AE165" s="9"/>
      <c r="AF165" s="9"/>
      <c r="AG165" s="9"/>
      <c r="AH165" s="9"/>
      <c r="AI165" s="9"/>
      <c r="AJ165" s="248"/>
    </row>
    <row r="166" spans="1:36" ht="14.25">
      <c r="A166" s="248"/>
      <c r="B166" s="248"/>
      <c r="C166" s="248"/>
      <c r="D166" s="248"/>
      <c r="E166" s="248"/>
      <c r="F166" s="248"/>
      <c r="G166" s="248"/>
      <c r="H166" s="251"/>
      <c r="I166" s="251"/>
      <c r="J166" s="1316">
        <v>2</v>
      </c>
      <c r="K166" s="1160" t="s">
        <v>447</v>
      </c>
      <c r="L166" s="496"/>
      <c r="M166" s="496"/>
      <c r="N166" s="493"/>
      <c r="O166" s="497"/>
      <c r="P166" s="496"/>
      <c r="Q166" s="496"/>
      <c r="R166" s="493"/>
      <c r="S166" s="493"/>
      <c r="T166" s="493"/>
      <c r="U166" s="493"/>
      <c r="V166" s="493"/>
      <c r="W166" s="492"/>
      <c r="X166" s="493"/>
      <c r="Y166" s="493"/>
      <c r="Z166" s="493"/>
      <c r="AA166" s="493"/>
      <c r="AB166" s="494"/>
      <c r="AC166" s="9"/>
      <c r="AD166" s="9"/>
      <c r="AE166" s="9"/>
      <c r="AF166" s="9"/>
      <c r="AG166" s="9"/>
      <c r="AH166" s="9"/>
      <c r="AI166" s="9"/>
      <c r="AJ166" s="248"/>
    </row>
    <row r="167" spans="1:36" ht="14.25">
      <c r="A167" s="248"/>
      <c r="B167" s="248"/>
      <c r="C167" s="248"/>
      <c r="D167" s="248"/>
      <c r="E167" s="248"/>
      <c r="F167" s="248"/>
      <c r="G167" s="248"/>
      <c r="H167" s="251"/>
      <c r="I167" s="251"/>
      <c r="J167" s="1316">
        <v>3</v>
      </c>
      <c r="K167" s="1160" t="s">
        <v>450</v>
      </c>
      <c r="L167" s="495"/>
      <c r="M167" s="490"/>
      <c r="N167" s="1317"/>
      <c r="O167" s="496"/>
      <c r="P167" s="496"/>
      <c r="Q167" s="496"/>
      <c r="R167" s="493"/>
      <c r="S167" s="493"/>
      <c r="T167" s="493"/>
      <c r="U167" s="493"/>
      <c r="V167" s="493"/>
      <c r="W167" s="492"/>
      <c r="X167" s="493"/>
      <c r="Y167" s="493"/>
      <c r="Z167" s="493"/>
      <c r="AA167" s="493"/>
      <c r="AB167" s="494"/>
      <c r="AC167" s="9"/>
      <c r="AD167" s="9"/>
      <c r="AE167" s="9"/>
      <c r="AF167" s="9"/>
      <c r="AG167" s="9"/>
      <c r="AH167" s="9"/>
      <c r="AI167" s="9"/>
      <c r="AJ167" s="248"/>
    </row>
    <row r="168" spans="1:36" ht="14.25">
      <c r="A168" s="248"/>
      <c r="B168" s="248"/>
      <c r="C168" s="248"/>
      <c r="D168" s="248"/>
      <c r="E168" s="248"/>
      <c r="F168" s="248"/>
      <c r="G168" s="248"/>
      <c r="H168" s="251"/>
      <c r="I168" s="251"/>
      <c r="J168" s="1316">
        <v>4</v>
      </c>
      <c r="K168" s="1160" t="s">
        <v>455</v>
      </c>
      <c r="L168" s="495"/>
      <c r="M168" s="490"/>
      <c r="N168" s="1317"/>
      <c r="O168" s="497"/>
      <c r="P168" s="496"/>
      <c r="Q168" s="496"/>
      <c r="R168" s="493"/>
      <c r="S168" s="493"/>
      <c r="T168" s="493"/>
      <c r="U168" s="493"/>
      <c r="V168" s="493"/>
      <c r="W168" s="492"/>
      <c r="X168" s="493"/>
      <c r="Y168" s="493"/>
      <c r="Z168" s="493"/>
      <c r="AA168" s="493"/>
      <c r="AB168" s="494"/>
      <c r="AC168" s="9"/>
      <c r="AD168" s="9"/>
      <c r="AE168" s="9"/>
      <c r="AF168" s="9"/>
      <c r="AG168" s="9"/>
      <c r="AH168" s="9"/>
      <c r="AI168" s="9"/>
      <c r="AJ168" s="248"/>
    </row>
    <row r="169" spans="1:36" ht="14.25">
      <c r="A169" s="248"/>
      <c r="B169" s="248"/>
      <c r="C169" s="248"/>
      <c r="D169" s="248"/>
      <c r="E169" s="248"/>
      <c r="F169" s="248"/>
      <c r="G169" s="248"/>
      <c r="H169" s="251"/>
      <c r="I169" s="251"/>
      <c r="J169" s="1316">
        <v>5</v>
      </c>
      <c r="K169" s="1160" t="s">
        <v>459</v>
      </c>
      <c r="L169" s="490"/>
      <c r="M169" s="489"/>
      <c r="N169" s="496"/>
      <c r="O169" s="496"/>
      <c r="P169" s="493"/>
      <c r="Q169" s="496"/>
      <c r="R169" s="493"/>
      <c r="S169" s="493"/>
      <c r="T169" s="493"/>
      <c r="U169" s="493"/>
      <c r="V169" s="493"/>
      <c r="W169" s="492"/>
      <c r="X169" s="493"/>
      <c r="Y169" s="493"/>
      <c r="Z169" s="493"/>
      <c r="AA169" s="493"/>
      <c r="AB169" s="494"/>
      <c r="AC169" s="9"/>
      <c r="AD169" s="9"/>
      <c r="AE169" s="9"/>
      <c r="AF169" s="9"/>
      <c r="AG169" s="9"/>
      <c r="AH169" s="9"/>
      <c r="AI169" s="9"/>
      <c r="AJ169" s="248"/>
    </row>
    <row r="170" spans="1:36" ht="14.25">
      <c r="A170" s="248"/>
      <c r="B170" s="248"/>
      <c r="C170" s="248"/>
      <c r="D170" s="248"/>
      <c r="E170" s="248"/>
      <c r="F170" s="248"/>
      <c r="G170" s="248"/>
      <c r="H170" s="251"/>
      <c r="I170" s="251"/>
      <c r="J170" s="1316">
        <v>6</v>
      </c>
      <c r="K170" s="1160" t="s">
        <v>463</v>
      </c>
      <c r="L170" s="490"/>
      <c r="M170" s="489"/>
      <c r="N170" s="496"/>
      <c r="O170" s="497"/>
      <c r="P170" s="496"/>
      <c r="Q170" s="496"/>
      <c r="R170" s="493"/>
      <c r="S170" s="493"/>
      <c r="T170" s="493"/>
      <c r="U170" s="493"/>
      <c r="V170" s="493"/>
      <c r="W170" s="492"/>
      <c r="X170" s="493"/>
      <c r="Y170" s="493"/>
      <c r="Z170" s="493"/>
      <c r="AA170" s="493"/>
      <c r="AB170" s="494"/>
      <c r="AC170" s="9"/>
      <c r="AD170" s="9"/>
      <c r="AE170" s="9"/>
      <c r="AF170" s="9"/>
      <c r="AG170" s="9"/>
      <c r="AH170" s="9"/>
      <c r="AI170" s="9"/>
      <c r="AJ170" s="248"/>
    </row>
    <row r="171" spans="1:36" ht="14.25">
      <c r="A171" s="248"/>
      <c r="B171" s="248"/>
      <c r="C171" s="248"/>
      <c r="D171" s="248"/>
      <c r="E171" s="248"/>
      <c r="F171" s="248"/>
      <c r="G171" s="248"/>
      <c r="H171" s="251"/>
      <c r="I171" s="251"/>
      <c r="J171" s="1316">
        <v>7</v>
      </c>
      <c r="K171" s="1160" t="s">
        <v>466</v>
      </c>
      <c r="L171" s="497"/>
      <c r="M171" s="1317"/>
      <c r="N171" s="496"/>
      <c r="O171" s="496"/>
      <c r="P171" s="496"/>
      <c r="Q171" s="496"/>
      <c r="R171" s="493"/>
      <c r="S171" s="493"/>
      <c r="T171" s="493"/>
      <c r="U171" s="493"/>
      <c r="V171" s="493"/>
      <c r="W171" s="492"/>
      <c r="X171" s="493"/>
      <c r="Y171" s="493"/>
      <c r="Z171" s="493"/>
      <c r="AA171" s="493"/>
      <c r="AB171" s="494"/>
      <c r="AC171" s="9"/>
      <c r="AD171" s="9"/>
      <c r="AE171" s="9"/>
      <c r="AF171" s="9"/>
      <c r="AG171" s="9"/>
      <c r="AH171" s="9"/>
      <c r="AI171" s="9"/>
      <c r="AJ171" s="248"/>
    </row>
    <row r="172" spans="1:36" ht="14.25">
      <c r="A172" s="248"/>
      <c r="B172" s="248"/>
      <c r="C172" s="248"/>
      <c r="D172" s="248"/>
      <c r="E172" s="248"/>
      <c r="F172" s="248"/>
      <c r="G172" s="248"/>
      <c r="H172" s="251"/>
      <c r="I172" s="251"/>
      <c r="J172" s="1316">
        <v>8</v>
      </c>
      <c r="K172" s="1160" t="s">
        <v>470</v>
      </c>
      <c r="L172" s="497"/>
      <c r="M172" s="493"/>
      <c r="N172" s="496"/>
      <c r="O172" s="497"/>
      <c r="P172" s="496"/>
      <c r="Q172" s="496"/>
      <c r="R172" s="493"/>
      <c r="S172" s="493"/>
      <c r="T172" s="493"/>
      <c r="U172" s="493"/>
      <c r="V172" s="493"/>
      <c r="W172" s="492"/>
      <c r="X172" s="493"/>
      <c r="Y172" s="493"/>
      <c r="Z172" s="493"/>
      <c r="AA172" s="493"/>
      <c r="AB172" s="494"/>
      <c r="AC172" s="9"/>
      <c r="AD172" s="9"/>
      <c r="AE172" s="9"/>
      <c r="AF172" s="9"/>
      <c r="AG172" s="9"/>
      <c r="AH172" s="9"/>
      <c r="AI172" s="9"/>
      <c r="AJ172" s="248"/>
    </row>
    <row r="173" spans="1:36" ht="14.25">
      <c r="A173" s="248"/>
      <c r="B173" s="248"/>
      <c r="C173" s="248"/>
      <c r="D173" s="248"/>
      <c r="E173" s="248"/>
      <c r="F173" s="248"/>
      <c r="G173" s="248"/>
      <c r="H173" s="251"/>
      <c r="I173" s="251"/>
      <c r="J173" s="1316">
        <v>9</v>
      </c>
      <c r="K173" s="1160" t="s">
        <v>474</v>
      </c>
      <c r="L173" s="496"/>
      <c r="M173" s="493"/>
      <c r="N173" s="493"/>
      <c r="O173" s="1318"/>
      <c r="P173" s="493"/>
      <c r="Q173" s="496"/>
      <c r="R173" s="493"/>
      <c r="S173" s="493"/>
      <c r="T173" s="493"/>
      <c r="U173" s="496"/>
      <c r="V173" s="493"/>
      <c r="W173" s="492"/>
      <c r="X173" s="493"/>
      <c r="Y173" s="493"/>
      <c r="Z173" s="493"/>
      <c r="AA173" s="493"/>
      <c r="AB173" s="494"/>
      <c r="AC173" s="9"/>
      <c r="AD173" s="9"/>
      <c r="AE173" s="9"/>
      <c r="AF173" s="9"/>
      <c r="AG173" s="9"/>
      <c r="AH173" s="9"/>
      <c r="AI173" s="9"/>
      <c r="AJ173" s="248"/>
    </row>
    <row r="174" spans="1:36" ht="14.25">
      <c r="A174" s="248"/>
      <c r="B174" s="248"/>
      <c r="C174" s="248"/>
      <c r="D174" s="248"/>
      <c r="E174" s="248"/>
      <c r="F174" s="248"/>
      <c r="G174" s="248"/>
      <c r="H174" s="251"/>
      <c r="I174" s="251"/>
      <c r="J174" s="1316">
        <v>10</v>
      </c>
      <c r="K174" s="1160" t="s">
        <v>478</v>
      </c>
      <c r="L174" s="496"/>
      <c r="M174" s="493"/>
      <c r="N174" s="493"/>
      <c r="O174" s="497"/>
      <c r="P174" s="496"/>
      <c r="Q174" s="496"/>
      <c r="R174" s="493"/>
      <c r="S174" s="493"/>
      <c r="T174" s="493"/>
      <c r="U174" s="496"/>
      <c r="V174" s="493"/>
      <c r="W174" s="492"/>
      <c r="X174" s="493"/>
      <c r="Y174" s="493"/>
      <c r="Z174" s="493"/>
      <c r="AA174" s="493"/>
      <c r="AB174" s="494"/>
      <c r="AC174" s="9"/>
      <c r="AD174" s="9"/>
      <c r="AE174" s="9"/>
      <c r="AF174" s="9"/>
      <c r="AG174" s="9"/>
      <c r="AH174" s="9"/>
      <c r="AI174" s="9"/>
      <c r="AJ174" s="248"/>
    </row>
    <row r="175" spans="1:36" ht="14.25">
      <c r="A175" s="248"/>
      <c r="B175" s="248"/>
      <c r="C175" s="248"/>
      <c r="D175" s="248"/>
      <c r="E175" s="248"/>
      <c r="F175" s="248"/>
      <c r="G175" s="248"/>
      <c r="H175" s="251"/>
      <c r="I175" s="251"/>
      <c r="J175" s="1316">
        <v>11</v>
      </c>
      <c r="K175" s="1160" t="s">
        <v>481</v>
      </c>
      <c r="L175" s="497"/>
      <c r="M175" s="493"/>
      <c r="N175" s="493"/>
      <c r="O175" s="1318"/>
      <c r="P175" s="496"/>
      <c r="Q175" s="496"/>
      <c r="R175" s="493"/>
      <c r="S175" s="493"/>
      <c r="T175" s="493"/>
      <c r="U175" s="496"/>
      <c r="V175" s="493"/>
      <c r="W175" s="492"/>
      <c r="X175" s="493"/>
      <c r="Y175" s="493"/>
      <c r="Z175" s="493"/>
      <c r="AA175" s="493"/>
      <c r="AB175" s="494"/>
      <c r="AC175" s="9"/>
      <c r="AD175" s="9"/>
      <c r="AE175" s="9"/>
      <c r="AF175" s="9"/>
      <c r="AG175" s="9"/>
      <c r="AH175" s="9"/>
      <c r="AI175" s="9"/>
      <c r="AJ175" s="248"/>
    </row>
    <row r="176" spans="1:36" ht="14.25">
      <c r="A176" s="248"/>
      <c r="B176" s="248"/>
      <c r="C176" s="248"/>
      <c r="D176" s="248"/>
      <c r="E176" s="248"/>
      <c r="F176" s="248"/>
      <c r="G176" s="248"/>
      <c r="H176" s="251"/>
      <c r="I176" s="251"/>
      <c r="J176" s="1316">
        <v>12</v>
      </c>
      <c r="K176" s="1160" t="s">
        <v>485</v>
      </c>
      <c r="L176" s="497"/>
      <c r="M176" s="493"/>
      <c r="N176" s="493"/>
      <c r="O176" s="497"/>
      <c r="P176" s="496"/>
      <c r="Q176" s="496"/>
      <c r="R176" s="493"/>
      <c r="S176" s="493"/>
      <c r="T176" s="493"/>
      <c r="U176" s="496"/>
      <c r="V176" s="493"/>
      <c r="W176" s="492"/>
      <c r="X176" s="493"/>
      <c r="Y176" s="493"/>
      <c r="Z176" s="493"/>
      <c r="AA176" s="493"/>
      <c r="AB176" s="494"/>
      <c r="AC176" s="9"/>
      <c r="AD176" s="9"/>
      <c r="AE176" s="9"/>
      <c r="AF176" s="9"/>
      <c r="AG176" s="9"/>
      <c r="AH176" s="9"/>
      <c r="AI176" s="9"/>
      <c r="AJ176" s="248"/>
    </row>
    <row r="177" spans="1:36" ht="14.25">
      <c r="A177" s="248"/>
      <c r="B177" s="248"/>
      <c r="C177" s="248"/>
      <c r="D177" s="248"/>
      <c r="E177" s="248"/>
      <c r="F177" s="248"/>
      <c r="G177" s="248"/>
      <c r="H177" s="251"/>
      <c r="I177" s="251"/>
      <c r="J177" s="1316">
        <v>13</v>
      </c>
      <c r="K177" s="1160" t="s">
        <v>489</v>
      </c>
      <c r="L177" s="493"/>
      <c r="M177" s="493"/>
      <c r="N177" s="493"/>
      <c r="O177" s="493"/>
      <c r="P177" s="493"/>
      <c r="Q177" s="493"/>
      <c r="R177" s="493"/>
      <c r="S177" s="493"/>
      <c r="T177" s="493"/>
      <c r="U177" s="497"/>
      <c r="V177" s="496"/>
      <c r="W177" s="492"/>
      <c r="X177" s="493"/>
      <c r="Y177" s="493"/>
      <c r="Z177" s="493"/>
      <c r="AA177" s="493"/>
      <c r="AB177" s="494"/>
      <c r="AC177" s="9"/>
      <c r="AD177" s="9"/>
      <c r="AE177" s="9"/>
      <c r="AF177" s="9"/>
      <c r="AG177" s="9"/>
      <c r="AH177" s="9"/>
      <c r="AI177" s="9"/>
      <c r="AJ177" s="248"/>
    </row>
    <row r="178" spans="1:36" ht="14.25">
      <c r="A178" s="248"/>
      <c r="B178" s="248"/>
      <c r="C178" s="248"/>
      <c r="D178" s="248"/>
      <c r="E178" s="248"/>
      <c r="F178" s="248"/>
      <c r="G178" s="248"/>
      <c r="H178" s="251"/>
      <c r="I178" s="251"/>
      <c r="J178" s="1316">
        <v>14</v>
      </c>
      <c r="K178" s="1160" t="s">
        <v>1642</v>
      </c>
      <c r="L178" s="493"/>
      <c r="M178" s="493"/>
      <c r="N178" s="493"/>
      <c r="O178" s="493"/>
      <c r="P178" s="493"/>
      <c r="Q178" s="493"/>
      <c r="R178" s="493"/>
      <c r="S178" s="493"/>
      <c r="T178" s="493"/>
      <c r="U178" s="493"/>
      <c r="V178" s="493"/>
      <c r="W178" s="492"/>
      <c r="X178" s="493"/>
      <c r="Y178" s="493"/>
      <c r="Z178" s="493"/>
      <c r="AA178" s="493"/>
      <c r="AB178" s="494"/>
      <c r="AC178" s="9"/>
      <c r="AD178" s="9"/>
      <c r="AE178" s="9"/>
      <c r="AF178" s="9"/>
      <c r="AG178" s="9"/>
      <c r="AH178" s="9"/>
      <c r="AI178" s="9"/>
      <c r="AJ178" s="248"/>
    </row>
    <row r="179" spans="1:36" ht="14.25">
      <c r="A179" s="248"/>
      <c r="B179" s="248"/>
      <c r="C179" s="248"/>
      <c r="D179" s="248"/>
      <c r="E179" s="248"/>
      <c r="F179" s="248"/>
      <c r="G179" s="248"/>
      <c r="H179" s="251"/>
      <c r="I179" s="251"/>
      <c r="J179" s="1316">
        <v>15</v>
      </c>
      <c r="K179" s="1160" t="s">
        <v>494</v>
      </c>
      <c r="L179" s="497"/>
      <c r="M179" s="493"/>
      <c r="N179" s="496"/>
      <c r="O179" s="493"/>
      <c r="P179" s="497"/>
      <c r="Q179" s="493"/>
      <c r="R179" s="493"/>
      <c r="S179" s="493"/>
      <c r="T179" s="493"/>
      <c r="U179" s="493"/>
      <c r="V179" s="493"/>
      <c r="W179" s="492"/>
      <c r="X179" s="493"/>
      <c r="Y179" s="493"/>
      <c r="Z179" s="493"/>
      <c r="AA179" s="493"/>
      <c r="AB179" s="494"/>
      <c r="AC179" s="9"/>
      <c r="AD179" s="9"/>
      <c r="AE179" s="9"/>
      <c r="AF179" s="9"/>
      <c r="AG179" s="9"/>
      <c r="AH179" s="9"/>
      <c r="AI179" s="9"/>
      <c r="AJ179" s="248"/>
    </row>
    <row r="180" spans="1:36" ht="14.25">
      <c r="A180" s="248"/>
      <c r="B180" s="248"/>
      <c r="C180" s="248"/>
      <c r="D180" s="248"/>
      <c r="E180" s="248"/>
      <c r="F180" s="248"/>
      <c r="G180" s="248"/>
      <c r="H180" s="251"/>
      <c r="I180" s="251"/>
      <c r="J180" s="1316">
        <v>16</v>
      </c>
      <c r="K180" s="1160" t="s">
        <v>496</v>
      </c>
      <c r="L180" s="496"/>
      <c r="M180" s="493"/>
      <c r="N180" s="493"/>
      <c r="O180" s="496"/>
      <c r="P180" s="493"/>
      <c r="Q180" s="496"/>
      <c r="R180" s="493"/>
      <c r="S180" s="493"/>
      <c r="T180" s="493"/>
      <c r="U180" s="493"/>
      <c r="V180" s="493"/>
      <c r="W180" s="493"/>
      <c r="X180" s="493"/>
      <c r="Y180" s="493"/>
      <c r="Z180" s="493"/>
      <c r="AA180" s="492"/>
      <c r="AB180" s="494"/>
      <c r="AC180" s="9"/>
      <c r="AD180" s="9"/>
      <c r="AE180" s="9"/>
      <c r="AF180" s="9"/>
      <c r="AG180" s="9"/>
      <c r="AH180" s="9"/>
      <c r="AI180" s="9"/>
      <c r="AJ180" s="248"/>
    </row>
    <row r="181" spans="1:36" ht="14.25">
      <c r="A181" s="248"/>
      <c r="B181" s="248"/>
      <c r="C181" s="248"/>
      <c r="D181" s="248"/>
      <c r="E181" s="248"/>
      <c r="F181" s="248"/>
      <c r="G181" s="248"/>
      <c r="H181" s="251"/>
      <c r="I181" s="251"/>
      <c r="J181" s="1316">
        <v>17</v>
      </c>
      <c r="K181" s="1160" t="s">
        <v>501</v>
      </c>
      <c r="L181" s="493"/>
      <c r="M181" s="493"/>
      <c r="N181" s="493"/>
      <c r="O181" s="493"/>
      <c r="P181" s="493"/>
      <c r="Q181" s="493"/>
      <c r="R181" s="493"/>
      <c r="S181" s="493"/>
      <c r="T181" s="493"/>
      <c r="U181" s="493"/>
      <c r="V181" s="493"/>
      <c r="W181" s="493"/>
      <c r="X181" s="493"/>
      <c r="Y181" s="493"/>
      <c r="Z181" s="493"/>
      <c r="AA181" s="492"/>
      <c r="AB181" s="494"/>
      <c r="AC181" s="9"/>
      <c r="AD181" s="9"/>
      <c r="AE181" s="9"/>
      <c r="AF181" s="9"/>
      <c r="AG181" s="9"/>
      <c r="AH181" s="9"/>
      <c r="AI181" s="9"/>
      <c r="AJ181" s="248"/>
    </row>
    <row r="182" spans="1:36" ht="14.25">
      <c r="A182" s="248"/>
      <c r="B182" s="248"/>
      <c r="C182" s="248"/>
      <c r="D182" s="248"/>
      <c r="E182" s="248"/>
      <c r="F182" s="248"/>
      <c r="G182" s="248"/>
      <c r="H182" s="251"/>
      <c r="I182" s="251"/>
      <c r="J182" s="1316">
        <v>18</v>
      </c>
      <c r="K182" s="1160" t="s">
        <v>506</v>
      </c>
      <c r="L182" s="496"/>
      <c r="M182" s="493"/>
      <c r="N182" s="493"/>
      <c r="O182" s="496"/>
      <c r="P182" s="493"/>
      <c r="Q182" s="496"/>
      <c r="R182" s="493"/>
      <c r="S182" s="493"/>
      <c r="T182" s="493"/>
      <c r="U182" s="493"/>
      <c r="V182" s="493"/>
      <c r="W182" s="493"/>
      <c r="X182" s="492"/>
      <c r="Y182" s="493"/>
      <c r="Z182" s="496"/>
      <c r="AA182" s="493"/>
      <c r="AB182" s="494"/>
      <c r="AC182" s="9"/>
      <c r="AD182" s="9"/>
      <c r="AE182" s="9"/>
      <c r="AF182" s="9"/>
      <c r="AG182" s="9"/>
      <c r="AH182" s="9"/>
      <c r="AI182" s="9"/>
      <c r="AJ182" s="248"/>
    </row>
    <row r="183" spans="1:36" ht="14.25">
      <c r="A183" s="248"/>
      <c r="B183" s="248"/>
      <c r="C183" s="248"/>
      <c r="D183" s="248"/>
      <c r="E183" s="248"/>
      <c r="F183" s="248"/>
      <c r="G183" s="248"/>
      <c r="H183" s="251"/>
      <c r="I183" s="251"/>
      <c r="J183" s="1316">
        <v>19</v>
      </c>
      <c r="K183" s="1160" t="s">
        <v>513</v>
      </c>
      <c r="L183" s="496"/>
      <c r="M183" s="493"/>
      <c r="N183" s="493"/>
      <c r="O183" s="497"/>
      <c r="P183" s="496"/>
      <c r="Q183" s="496"/>
      <c r="R183" s="493"/>
      <c r="S183" s="493"/>
      <c r="T183" s="493"/>
      <c r="U183" s="493"/>
      <c r="V183" s="493"/>
      <c r="W183" s="493"/>
      <c r="X183" s="492"/>
      <c r="Y183" s="493"/>
      <c r="Z183" s="496"/>
      <c r="AA183" s="493"/>
      <c r="AB183" s="494"/>
      <c r="AC183" s="9"/>
      <c r="AD183" s="9"/>
      <c r="AE183" s="9"/>
      <c r="AF183" s="9"/>
      <c r="AG183" s="9"/>
      <c r="AH183" s="9"/>
      <c r="AI183" s="9"/>
      <c r="AJ183" s="248"/>
    </row>
    <row r="184" spans="1:36" ht="14.25">
      <c r="A184" s="248"/>
      <c r="B184" s="248"/>
      <c r="C184" s="248"/>
      <c r="D184" s="248"/>
      <c r="E184" s="248"/>
      <c r="F184" s="248"/>
      <c r="G184" s="248"/>
      <c r="H184" s="251"/>
      <c r="I184" s="251"/>
      <c r="J184" s="1316">
        <v>20</v>
      </c>
      <c r="K184" s="1160" t="s">
        <v>517</v>
      </c>
      <c r="L184" s="496"/>
      <c r="M184" s="493"/>
      <c r="N184" s="493"/>
      <c r="O184" s="496"/>
      <c r="P184" s="493"/>
      <c r="Q184" s="497"/>
      <c r="R184" s="493"/>
      <c r="S184" s="493"/>
      <c r="T184" s="493"/>
      <c r="U184" s="493"/>
      <c r="V184" s="493"/>
      <c r="W184" s="493"/>
      <c r="X184" s="492"/>
      <c r="Y184" s="496"/>
      <c r="Z184" s="496"/>
      <c r="AA184" s="493"/>
      <c r="AB184" s="494"/>
      <c r="AC184" s="9"/>
      <c r="AD184" s="9"/>
      <c r="AE184" s="9"/>
      <c r="AF184" s="9"/>
      <c r="AG184" s="9"/>
      <c r="AH184" s="9"/>
      <c r="AI184" s="9"/>
      <c r="AJ184" s="248"/>
    </row>
    <row r="185" spans="1:36" ht="14.25">
      <c r="A185" s="248"/>
      <c r="B185" s="248"/>
      <c r="C185" s="248"/>
      <c r="D185" s="248"/>
      <c r="E185" s="248"/>
      <c r="F185" s="248"/>
      <c r="G185" s="248"/>
      <c r="H185" s="251"/>
      <c r="I185" s="251"/>
      <c r="J185" s="1316">
        <v>21</v>
      </c>
      <c r="K185" s="1160" t="s">
        <v>519</v>
      </c>
      <c r="L185" s="496"/>
      <c r="M185" s="493"/>
      <c r="N185" s="493"/>
      <c r="O185" s="497"/>
      <c r="P185" s="496"/>
      <c r="Q185" s="497"/>
      <c r="R185" s="493"/>
      <c r="S185" s="493"/>
      <c r="T185" s="493"/>
      <c r="U185" s="493"/>
      <c r="V185" s="493"/>
      <c r="W185" s="493"/>
      <c r="X185" s="492"/>
      <c r="Y185" s="496"/>
      <c r="Z185" s="496"/>
      <c r="AA185" s="493"/>
      <c r="AB185" s="494"/>
      <c r="AC185" s="9"/>
      <c r="AD185" s="9"/>
      <c r="AE185" s="9"/>
      <c r="AF185" s="9"/>
      <c r="AG185" s="9"/>
      <c r="AH185" s="9"/>
      <c r="AI185" s="9"/>
      <c r="AJ185" s="248"/>
    </row>
    <row r="186" spans="1:36" ht="14.25">
      <c r="A186" s="248"/>
      <c r="B186" s="248"/>
      <c r="C186" s="248"/>
      <c r="D186" s="248"/>
      <c r="E186" s="248"/>
      <c r="F186" s="248"/>
      <c r="G186" s="248"/>
      <c r="H186" s="251"/>
      <c r="I186" s="251"/>
      <c r="J186" s="1316">
        <v>22</v>
      </c>
      <c r="K186" s="1160" t="s">
        <v>521</v>
      </c>
      <c r="L186" s="497"/>
      <c r="M186" s="493"/>
      <c r="N186" s="493"/>
      <c r="O186" s="496"/>
      <c r="P186" s="496"/>
      <c r="Q186" s="496"/>
      <c r="R186" s="493"/>
      <c r="S186" s="493"/>
      <c r="T186" s="493"/>
      <c r="U186" s="493"/>
      <c r="V186" s="493"/>
      <c r="W186" s="493"/>
      <c r="X186" s="492"/>
      <c r="Y186" s="493"/>
      <c r="Z186" s="496"/>
      <c r="AA186" s="493"/>
      <c r="AB186" s="494"/>
      <c r="AC186" s="9"/>
      <c r="AD186" s="9"/>
      <c r="AE186" s="9"/>
      <c r="AF186" s="9"/>
      <c r="AG186" s="9"/>
      <c r="AH186" s="9"/>
      <c r="AI186" s="9"/>
      <c r="AJ186" s="248"/>
    </row>
    <row r="187" spans="1:36" ht="14.25">
      <c r="A187" s="248"/>
      <c r="B187" s="248"/>
      <c r="C187" s="248"/>
      <c r="D187" s="248"/>
      <c r="E187" s="248"/>
      <c r="F187" s="248"/>
      <c r="G187" s="248"/>
      <c r="H187" s="251"/>
      <c r="I187" s="251"/>
      <c r="J187" s="1316">
        <v>23</v>
      </c>
      <c r="K187" s="1160" t="s">
        <v>528</v>
      </c>
      <c r="L187" s="497"/>
      <c r="M187" s="493"/>
      <c r="N187" s="493"/>
      <c r="O187" s="497"/>
      <c r="P187" s="496"/>
      <c r="Q187" s="496"/>
      <c r="R187" s="493"/>
      <c r="S187" s="493"/>
      <c r="T187" s="493"/>
      <c r="U187" s="493"/>
      <c r="V187" s="493"/>
      <c r="W187" s="493"/>
      <c r="X187" s="492"/>
      <c r="Y187" s="493"/>
      <c r="Z187" s="496"/>
      <c r="AA187" s="493"/>
      <c r="AB187" s="494"/>
      <c r="AC187" s="9"/>
      <c r="AD187" s="9"/>
      <c r="AE187" s="9"/>
      <c r="AF187" s="9"/>
      <c r="AG187" s="9"/>
      <c r="AH187" s="9"/>
      <c r="AI187" s="9"/>
      <c r="AJ187" s="248"/>
    </row>
    <row r="188" spans="1:36" ht="14.25">
      <c r="A188" s="248"/>
      <c r="B188" s="248"/>
      <c r="C188" s="248"/>
      <c r="D188" s="248"/>
      <c r="E188" s="248"/>
      <c r="F188" s="248"/>
      <c r="G188" s="248"/>
      <c r="H188" s="251"/>
      <c r="I188" s="251"/>
      <c r="J188" s="1316">
        <v>24</v>
      </c>
      <c r="K188" s="1160" t="s">
        <v>349</v>
      </c>
      <c r="L188" s="496"/>
      <c r="M188" s="493"/>
      <c r="N188" s="493"/>
      <c r="O188" s="493"/>
      <c r="P188" s="493"/>
      <c r="Q188" s="493"/>
      <c r="R188" s="493"/>
      <c r="S188" s="493"/>
      <c r="T188" s="493"/>
      <c r="U188" s="493"/>
      <c r="V188" s="493"/>
      <c r="W188" s="493"/>
      <c r="X188" s="492"/>
      <c r="Y188" s="493"/>
      <c r="Z188" s="493"/>
      <c r="AA188" s="493"/>
      <c r="AB188" s="494"/>
      <c r="AC188" s="9"/>
      <c r="AD188" s="9"/>
      <c r="AE188" s="9"/>
      <c r="AF188" s="9"/>
      <c r="AG188" s="9"/>
      <c r="AH188" s="9"/>
      <c r="AI188" s="9"/>
      <c r="AJ188" s="248"/>
    </row>
    <row r="189" spans="1:36" ht="14.25">
      <c r="A189" s="248"/>
      <c r="B189" s="248"/>
      <c r="C189" s="248"/>
      <c r="D189" s="248"/>
      <c r="E189" s="248"/>
      <c r="F189" s="248"/>
      <c r="G189" s="248"/>
      <c r="H189" s="251"/>
      <c r="I189" s="251"/>
      <c r="J189" s="1316">
        <v>25</v>
      </c>
      <c r="K189" s="1160" t="s">
        <v>537</v>
      </c>
      <c r="L189" s="1318"/>
      <c r="M189" s="493"/>
      <c r="N189" s="493"/>
      <c r="O189" s="493"/>
      <c r="P189" s="493"/>
      <c r="Q189" s="493"/>
      <c r="R189" s="493"/>
      <c r="S189" s="493"/>
      <c r="T189" s="493"/>
      <c r="U189" s="493"/>
      <c r="V189" s="493"/>
      <c r="W189" s="493"/>
      <c r="X189" s="492"/>
      <c r="Y189" s="496"/>
      <c r="Z189" s="493"/>
      <c r="AA189" s="493"/>
      <c r="AB189" s="494"/>
      <c r="AC189" s="9"/>
      <c r="AD189" s="9"/>
      <c r="AE189" s="9"/>
      <c r="AF189" s="9"/>
      <c r="AG189" s="9"/>
      <c r="AH189" s="9"/>
      <c r="AI189" s="9"/>
      <c r="AJ189" s="248"/>
    </row>
    <row r="190" spans="1:36" ht="14.25">
      <c r="A190" s="248"/>
      <c r="B190" s="248"/>
      <c r="C190" s="248"/>
      <c r="D190" s="248"/>
      <c r="E190" s="248"/>
      <c r="F190" s="248"/>
      <c r="G190" s="248"/>
      <c r="H190" s="251"/>
      <c r="I190" s="251"/>
      <c r="J190" s="1316">
        <v>26</v>
      </c>
      <c r="K190" s="1160" t="s">
        <v>540</v>
      </c>
      <c r="L190" s="1318"/>
      <c r="M190" s="493"/>
      <c r="N190" s="493"/>
      <c r="O190" s="496"/>
      <c r="P190" s="493"/>
      <c r="Q190" s="496"/>
      <c r="R190" s="493"/>
      <c r="S190" s="493"/>
      <c r="T190" s="493"/>
      <c r="U190" s="493"/>
      <c r="V190" s="493"/>
      <c r="W190" s="493"/>
      <c r="X190" s="492"/>
      <c r="Y190" s="493"/>
      <c r="Z190" s="496"/>
      <c r="AA190" s="493"/>
      <c r="AB190" s="494"/>
      <c r="AC190" s="9"/>
      <c r="AD190" s="9"/>
      <c r="AE190" s="9"/>
      <c r="AF190" s="9"/>
      <c r="AG190" s="9"/>
      <c r="AH190" s="9"/>
      <c r="AI190" s="9"/>
      <c r="AJ190" s="248"/>
    </row>
    <row r="191" spans="1:36" ht="14.25">
      <c r="A191" s="248"/>
      <c r="B191" s="248"/>
      <c r="C191" s="248"/>
      <c r="D191" s="248"/>
      <c r="E191" s="248"/>
      <c r="F191" s="248"/>
      <c r="G191" s="248"/>
      <c r="H191" s="251"/>
      <c r="I191" s="251"/>
      <c r="J191" s="1316">
        <v>27</v>
      </c>
      <c r="K191" s="1160" t="s">
        <v>361</v>
      </c>
      <c r="L191" s="497"/>
      <c r="M191" s="493"/>
      <c r="N191" s="493"/>
      <c r="O191" s="493"/>
      <c r="P191" s="496"/>
      <c r="Q191" s="493"/>
      <c r="R191" s="493"/>
      <c r="S191" s="493"/>
      <c r="T191" s="493"/>
      <c r="U191" s="493"/>
      <c r="V191" s="493"/>
      <c r="W191" s="493"/>
      <c r="X191" s="492"/>
      <c r="Y191" s="493"/>
      <c r="Z191" s="493"/>
      <c r="AA191" s="493"/>
      <c r="AB191" s="494"/>
      <c r="AC191" s="9"/>
      <c r="AD191" s="9"/>
      <c r="AE191" s="9"/>
      <c r="AF191" s="9"/>
      <c r="AG191" s="9"/>
      <c r="AH191" s="9"/>
      <c r="AI191" s="9"/>
      <c r="AJ191" s="248"/>
    </row>
    <row r="192" spans="1:36" ht="14.25">
      <c r="A192" s="248"/>
      <c r="B192" s="248"/>
      <c r="C192" s="248"/>
      <c r="D192" s="248"/>
      <c r="E192" s="248"/>
      <c r="F192" s="248"/>
      <c r="G192" s="248"/>
      <c r="H192" s="251"/>
      <c r="I192" s="251"/>
      <c r="J192" s="1316">
        <v>28</v>
      </c>
      <c r="K192" s="1160" t="s">
        <v>551</v>
      </c>
      <c r="L192" s="497"/>
      <c r="M192" s="493"/>
      <c r="N192" s="493"/>
      <c r="O192" s="493"/>
      <c r="P192" s="1318"/>
      <c r="Q192" s="493"/>
      <c r="R192" s="493"/>
      <c r="S192" s="493"/>
      <c r="T192" s="493"/>
      <c r="U192" s="493"/>
      <c r="V192" s="493"/>
      <c r="W192" s="493"/>
      <c r="X192" s="492"/>
      <c r="Y192" s="496"/>
      <c r="Z192" s="493"/>
      <c r="AA192" s="493"/>
      <c r="AB192" s="494"/>
      <c r="AC192" s="9"/>
      <c r="AD192" s="9"/>
      <c r="AE192" s="9"/>
      <c r="AF192" s="9"/>
      <c r="AG192" s="9"/>
      <c r="AH192" s="9"/>
      <c r="AI192" s="9"/>
      <c r="AJ192" s="248"/>
    </row>
    <row r="193" spans="1:36" ht="14.25">
      <c r="A193" s="248"/>
      <c r="B193" s="248"/>
      <c r="C193" s="248"/>
      <c r="D193" s="248"/>
      <c r="E193" s="248"/>
      <c r="F193" s="248"/>
      <c r="G193" s="248"/>
      <c r="H193" s="251"/>
      <c r="I193" s="251"/>
      <c r="J193" s="1316">
        <v>29</v>
      </c>
      <c r="K193" s="1160" t="s">
        <v>553</v>
      </c>
      <c r="L193" s="497"/>
      <c r="M193" s="493"/>
      <c r="N193" s="493"/>
      <c r="O193" s="496"/>
      <c r="P193" s="1318"/>
      <c r="Q193" s="496"/>
      <c r="R193" s="493"/>
      <c r="S193" s="493"/>
      <c r="T193" s="493"/>
      <c r="U193" s="493"/>
      <c r="V193" s="493"/>
      <c r="W193" s="493"/>
      <c r="X193" s="492"/>
      <c r="Y193" s="493"/>
      <c r="Z193" s="496"/>
      <c r="AA193" s="493"/>
      <c r="AB193" s="494"/>
      <c r="AC193" s="9"/>
      <c r="AD193" s="9"/>
      <c r="AE193" s="9"/>
      <c r="AF193" s="9"/>
      <c r="AG193" s="9"/>
      <c r="AH193" s="9"/>
      <c r="AI193" s="9"/>
      <c r="AJ193" s="248"/>
    </row>
    <row r="194" spans="1:36" ht="14.25">
      <c r="A194" s="248"/>
      <c r="B194" s="248"/>
      <c r="C194" s="248"/>
      <c r="D194" s="248"/>
      <c r="E194" s="248"/>
      <c r="F194" s="248"/>
      <c r="G194" s="248"/>
      <c r="H194" s="251"/>
      <c r="I194" s="251"/>
      <c r="J194" s="1316">
        <v>30</v>
      </c>
      <c r="K194" s="1160" t="s">
        <v>372</v>
      </c>
      <c r="L194" s="497"/>
      <c r="M194" s="493"/>
      <c r="N194" s="493"/>
      <c r="O194" s="493"/>
      <c r="P194" s="497"/>
      <c r="Q194" s="493"/>
      <c r="R194" s="493"/>
      <c r="S194" s="493"/>
      <c r="T194" s="493"/>
      <c r="U194" s="493"/>
      <c r="V194" s="493"/>
      <c r="W194" s="493"/>
      <c r="X194" s="492"/>
      <c r="Y194" s="493"/>
      <c r="Z194" s="493"/>
      <c r="AA194" s="493"/>
      <c r="AB194" s="494"/>
      <c r="AC194" s="9"/>
      <c r="AD194" s="9"/>
      <c r="AE194" s="9"/>
      <c r="AF194" s="9"/>
      <c r="AG194" s="9"/>
      <c r="AH194" s="9"/>
      <c r="AI194" s="9"/>
      <c r="AJ194" s="248"/>
    </row>
    <row r="195" spans="1:36" ht="14.25">
      <c r="A195" s="248"/>
      <c r="B195" s="248"/>
      <c r="C195" s="248"/>
      <c r="D195" s="248"/>
      <c r="E195" s="248"/>
      <c r="F195" s="248"/>
      <c r="G195" s="248"/>
      <c r="H195" s="251"/>
      <c r="I195" s="251"/>
      <c r="J195" s="1316">
        <v>31</v>
      </c>
      <c r="K195" s="1160" t="s">
        <v>559</v>
      </c>
      <c r="L195" s="497"/>
      <c r="M195" s="493"/>
      <c r="N195" s="493"/>
      <c r="O195" s="493"/>
      <c r="P195" s="497"/>
      <c r="Q195" s="493"/>
      <c r="R195" s="493"/>
      <c r="S195" s="493"/>
      <c r="T195" s="493"/>
      <c r="U195" s="493"/>
      <c r="V195" s="493"/>
      <c r="W195" s="493"/>
      <c r="X195" s="492"/>
      <c r="Y195" s="496"/>
      <c r="Z195" s="493"/>
      <c r="AA195" s="493"/>
      <c r="AB195" s="494"/>
      <c r="AC195" s="9"/>
      <c r="AD195" s="9"/>
      <c r="AE195" s="9"/>
      <c r="AF195" s="9"/>
      <c r="AG195" s="9"/>
      <c r="AH195" s="9"/>
      <c r="AI195" s="9"/>
      <c r="AJ195" s="248"/>
    </row>
    <row r="196" spans="1:36" ht="14.25">
      <c r="A196" s="248"/>
      <c r="B196" s="248"/>
      <c r="C196" s="248"/>
      <c r="D196" s="248"/>
      <c r="E196" s="248"/>
      <c r="F196" s="248"/>
      <c r="G196" s="248"/>
      <c r="H196" s="251"/>
      <c r="I196" s="251"/>
      <c r="J196" s="1316">
        <v>32</v>
      </c>
      <c r="K196" s="1160" t="s">
        <v>561</v>
      </c>
      <c r="L196" s="497"/>
      <c r="M196" s="493"/>
      <c r="N196" s="493"/>
      <c r="O196" s="496"/>
      <c r="P196" s="497"/>
      <c r="Q196" s="496"/>
      <c r="R196" s="493"/>
      <c r="S196" s="493"/>
      <c r="T196" s="493"/>
      <c r="U196" s="493"/>
      <c r="V196" s="493"/>
      <c r="W196" s="493"/>
      <c r="X196" s="492"/>
      <c r="Y196" s="493"/>
      <c r="Z196" s="496"/>
      <c r="AA196" s="493"/>
      <c r="AB196" s="494"/>
      <c r="AC196" s="9"/>
      <c r="AD196" s="9"/>
      <c r="AE196" s="9"/>
      <c r="AF196" s="9"/>
      <c r="AG196" s="9"/>
      <c r="AH196" s="9"/>
      <c r="AI196" s="9"/>
      <c r="AJ196" s="248"/>
    </row>
    <row r="197" spans="1:36" ht="14.25">
      <c r="A197" s="248"/>
      <c r="B197" s="248"/>
      <c r="C197" s="248"/>
      <c r="D197" s="248"/>
      <c r="E197" s="248"/>
      <c r="F197" s="248"/>
      <c r="G197" s="248"/>
      <c r="H197" s="251"/>
      <c r="I197" s="251"/>
      <c r="J197" s="1316">
        <v>33</v>
      </c>
      <c r="K197" s="1160" t="s">
        <v>1740</v>
      </c>
      <c r="L197" s="497"/>
      <c r="M197" s="493"/>
      <c r="N197" s="493"/>
      <c r="O197" s="493"/>
      <c r="P197" s="1318"/>
      <c r="Q197" s="493"/>
      <c r="R197" s="493"/>
      <c r="S197" s="493"/>
      <c r="T197" s="493"/>
      <c r="U197" s="493"/>
      <c r="V197" s="493"/>
      <c r="W197" s="493"/>
      <c r="X197" s="492"/>
      <c r="Y197" s="496"/>
      <c r="Z197" s="493"/>
      <c r="AA197" s="493"/>
      <c r="AB197" s="494"/>
      <c r="AC197" s="9"/>
      <c r="AD197" s="9"/>
      <c r="AE197" s="9"/>
      <c r="AF197" s="9"/>
      <c r="AG197" s="9"/>
      <c r="AH197" s="9"/>
      <c r="AI197" s="9"/>
      <c r="AJ197" s="248"/>
    </row>
    <row r="198" spans="1:36" ht="14.25">
      <c r="A198" s="248"/>
      <c r="B198" s="248"/>
      <c r="C198" s="248"/>
      <c r="D198" s="248"/>
      <c r="E198" s="248"/>
      <c r="F198" s="248"/>
      <c r="G198" s="248"/>
      <c r="H198" s="251"/>
      <c r="I198" s="251"/>
      <c r="J198" s="1316">
        <v>34</v>
      </c>
      <c r="K198" s="1160" t="s">
        <v>1741</v>
      </c>
      <c r="L198" s="497"/>
      <c r="M198" s="493"/>
      <c r="N198" s="493"/>
      <c r="O198" s="493"/>
      <c r="P198" s="497"/>
      <c r="Q198" s="493"/>
      <c r="R198" s="493"/>
      <c r="S198" s="493"/>
      <c r="T198" s="493"/>
      <c r="U198" s="493"/>
      <c r="V198" s="493"/>
      <c r="W198" s="493"/>
      <c r="X198" s="492"/>
      <c r="Y198" s="496"/>
      <c r="Z198" s="493"/>
      <c r="AA198" s="493"/>
      <c r="AB198" s="494"/>
      <c r="AC198" s="9"/>
      <c r="AD198" s="9"/>
      <c r="AE198" s="9"/>
      <c r="AF198" s="9"/>
      <c r="AG198" s="9"/>
      <c r="AH198" s="9"/>
      <c r="AI198" s="9"/>
      <c r="AJ198" s="248"/>
    </row>
    <row r="199" spans="1:36" ht="15" thickBot="1">
      <c r="A199" s="248"/>
      <c r="B199" s="248"/>
      <c r="C199" s="248"/>
      <c r="D199" s="248"/>
      <c r="E199" s="248"/>
      <c r="F199" s="248"/>
      <c r="G199" s="248"/>
      <c r="H199" s="251"/>
      <c r="I199" s="251"/>
      <c r="J199" s="1319">
        <v>35</v>
      </c>
      <c r="K199" s="1172" t="s">
        <v>567</v>
      </c>
      <c r="L199" s="508"/>
      <c r="M199" s="1320"/>
      <c r="N199" s="508"/>
      <c r="O199" s="508"/>
      <c r="P199" s="508"/>
      <c r="Q199" s="508"/>
      <c r="R199" s="508"/>
      <c r="S199" s="508"/>
      <c r="T199" s="508"/>
      <c r="U199" s="508"/>
      <c r="V199" s="508"/>
      <c r="W199" s="508"/>
      <c r="X199" s="1321"/>
      <c r="Y199" s="1320"/>
      <c r="Z199" s="508"/>
      <c r="AA199" s="508"/>
      <c r="AB199" s="1322"/>
      <c r="AC199" s="9"/>
      <c r="AD199" s="9"/>
      <c r="AE199" s="9"/>
      <c r="AF199" s="9"/>
      <c r="AG199" s="9"/>
      <c r="AH199" s="9"/>
      <c r="AI199" s="9"/>
      <c r="AJ199" s="248"/>
    </row>
  </sheetData>
  <mergeCells count="100">
    <mergeCell ref="B3:AF3"/>
    <mergeCell ref="B5:G5"/>
    <mergeCell ref="K5:L5"/>
    <mergeCell ref="M5:AB5"/>
    <mergeCell ref="B7:G8"/>
    <mergeCell ref="K7:L7"/>
    <mergeCell ref="M7:S7"/>
    <mergeCell ref="B9:G9"/>
    <mergeCell ref="J9:AF9"/>
    <mergeCell ref="AC11:AF11"/>
    <mergeCell ref="B12:B27"/>
    <mergeCell ref="AC12:AF12"/>
    <mergeCell ref="AC13:AF13"/>
    <mergeCell ref="AC14:AF14"/>
    <mergeCell ref="AC15:AF15"/>
    <mergeCell ref="AC16:AF16"/>
    <mergeCell ref="AC17:AF17"/>
    <mergeCell ref="AC18:AF18"/>
    <mergeCell ref="AC19:AF19"/>
    <mergeCell ref="AC20:AF20"/>
    <mergeCell ref="AC21:AF21"/>
    <mergeCell ref="AC22:AF22"/>
    <mergeCell ref="AC23:AF23"/>
    <mergeCell ref="AC24:AF24"/>
    <mergeCell ref="AC25:AF25"/>
    <mergeCell ref="AC26:AF26"/>
    <mergeCell ref="AC27:AF27"/>
    <mergeCell ref="B28:B54"/>
    <mergeCell ref="AC28:AF28"/>
    <mergeCell ref="AC29:AF29"/>
    <mergeCell ref="AC30:AF30"/>
    <mergeCell ref="AC31:AF31"/>
    <mergeCell ref="AC32:AF32"/>
    <mergeCell ref="AC33:AF33"/>
    <mergeCell ref="AC34:AF34"/>
    <mergeCell ref="AC35:AF35"/>
    <mergeCell ref="AC36:AF36"/>
    <mergeCell ref="AC37:AF37"/>
    <mergeCell ref="AC38:AF38"/>
    <mergeCell ref="AC39:AF39"/>
    <mergeCell ref="AC40:AF40"/>
    <mergeCell ref="AC41:AF41"/>
    <mergeCell ref="AC42:AF42"/>
    <mergeCell ref="AC43:AF43"/>
    <mergeCell ref="AC44:AF44"/>
    <mergeCell ref="AC45:AF45"/>
    <mergeCell ref="AC46:AF46"/>
    <mergeCell ref="K47:AB47"/>
    <mergeCell ref="J53:AF53"/>
    <mergeCell ref="B55:B87"/>
    <mergeCell ref="AC55:AF55"/>
    <mergeCell ref="AC56:AF56"/>
    <mergeCell ref="AC57:AF57"/>
    <mergeCell ref="AC58:AF58"/>
    <mergeCell ref="AC59:AF59"/>
    <mergeCell ref="AC60:AF60"/>
    <mergeCell ref="AC61:AF61"/>
    <mergeCell ref="AC62:AF62"/>
    <mergeCell ref="AC63:AF63"/>
    <mergeCell ref="AC64:AF64"/>
    <mergeCell ref="AC65:AF65"/>
    <mergeCell ref="AC66:AF66"/>
    <mergeCell ref="AC67:AF67"/>
    <mergeCell ref="AC68:AF68"/>
    <mergeCell ref="AC69:AF69"/>
    <mergeCell ref="AC70:AF70"/>
    <mergeCell ref="AC71:AF71"/>
    <mergeCell ref="AC72:AF72"/>
    <mergeCell ref="AC73:AF73"/>
    <mergeCell ref="AC74:AF74"/>
    <mergeCell ref="AC75:AF75"/>
    <mergeCell ref="AC76:AF76"/>
    <mergeCell ref="AC77:AF77"/>
    <mergeCell ref="AC78:AF78"/>
    <mergeCell ref="AC79:AF79"/>
    <mergeCell ref="AC80:AF80"/>
    <mergeCell ref="AC81:AF81"/>
    <mergeCell ref="AC82:AF82"/>
    <mergeCell ref="AC83:AF83"/>
    <mergeCell ref="AC84:AF84"/>
    <mergeCell ref="AC85:AF85"/>
    <mergeCell ref="AC86:AF86"/>
    <mergeCell ref="AC87:AF87"/>
    <mergeCell ref="AC88:AF88"/>
    <mergeCell ref="AC89:AF89"/>
    <mergeCell ref="AC90:AF90"/>
    <mergeCell ref="K91:AB91"/>
    <mergeCell ref="J97:AJ97"/>
    <mergeCell ref="AC99:AF99"/>
    <mergeCell ref="J156:AF156"/>
    <mergeCell ref="M158:R158"/>
    <mergeCell ref="S158:W158"/>
    <mergeCell ref="M159:R159"/>
    <mergeCell ref="S159:W159"/>
    <mergeCell ref="M160:R160"/>
    <mergeCell ref="S160:W160"/>
    <mergeCell ref="M161:R161"/>
    <mergeCell ref="S161:W161"/>
    <mergeCell ref="M162:R162"/>
    <mergeCell ref="S162:W16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Cemagref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helene.hauduc</dc:creator>
  <cp:keywords/>
  <dc:description/>
  <cp:lastModifiedBy>Paul Nagle</cp:lastModifiedBy>
  <dcterms:created xsi:type="dcterms:W3CDTF">2009-11-23T15:39:13Z</dcterms:created>
  <dcterms:modified xsi:type="dcterms:W3CDTF">2010-02-25T15:23:21Z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